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43" sheetId="1" r:id="rId1"/>
  </sheets>
  <definedNames>
    <definedName name="_xlnm.Print_Area" localSheetId="0">'43'!$A$1:$M$62</definedName>
  </definedNames>
  <calcPr calcId="144525"/>
</workbook>
</file>

<file path=xl/calcChain.xml><?xml version="1.0" encoding="utf-8"?>
<calcChain xmlns="http://schemas.openxmlformats.org/spreadsheetml/2006/main">
  <c r="I58" i="1" l="1"/>
  <c r="K58" i="1" s="1"/>
  <c r="H58" i="1"/>
  <c r="K57" i="1"/>
  <c r="K56" i="1"/>
  <c r="I56" i="1"/>
  <c r="J55" i="1"/>
  <c r="I55" i="1"/>
  <c r="K55" i="1" s="1"/>
  <c r="I53" i="1"/>
  <c r="K53" i="1" s="1"/>
  <c r="H53" i="1"/>
  <c r="K52" i="1"/>
  <c r="H52" i="1"/>
  <c r="M51" i="1"/>
  <c r="L51" i="1"/>
  <c r="J51" i="1"/>
  <c r="I51" i="1"/>
  <c r="G51" i="1"/>
  <c r="F51" i="1"/>
  <c r="H51" i="1" s="1"/>
  <c r="D51" i="1"/>
  <c r="C51" i="1"/>
  <c r="B51" i="1"/>
  <c r="H50" i="1"/>
  <c r="D50" i="1"/>
  <c r="D49" i="1"/>
  <c r="D48" i="1"/>
  <c r="H47" i="1"/>
  <c r="D47" i="1"/>
  <c r="H46" i="1"/>
  <c r="D46" i="1"/>
  <c r="H45" i="1"/>
  <c r="D45" i="1"/>
  <c r="H44" i="1"/>
  <c r="C44" i="1"/>
  <c r="B44" i="1"/>
  <c r="D44" i="1" s="1"/>
  <c r="D43" i="1"/>
  <c r="G42" i="1"/>
  <c r="F42" i="1"/>
  <c r="H42" i="1" s="1"/>
  <c r="D42" i="1"/>
  <c r="G41" i="1"/>
  <c r="F41" i="1"/>
  <c r="H41" i="1" s="1"/>
  <c r="H40" i="1"/>
  <c r="D40" i="1"/>
  <c r="H39" i="1"/>
  <c r="C39" i="1"/>
  <c r="B39" i="1"/>
  <c r="D39" i="1" s="1"/>
  <c r="H38" i="1"/>
  <c r="D38" i="1"/>
  <c r="G37" i="1"/>
  <c r="H37" i="1" s="1"/>
  <c r="D37" i="1"/>
  <c r="C36" i="1"/>
  <c r="B36" i="1"/>
  <c r="D36" i="1" s="1"/>
  <c r="G35" i="1"/>
  <c r="H35" i="1" s="1"/>
  <c r="C35" i="1"/>
  <c r="D35" i="1" s="1"/>
  <c r="G34" i="1"/>
  <c r="H34" i="1" s="1"/>
  <c r="C34" i="1"/>
  <c r="D34" i="1" s="1"/>
  <c r="G33" i="1"/>
  <c r="F33" i="1"/>
  <c r="H33" i="1" s="1"/>
  <c r="D33" i="1"/>
  <c r="G32" i="1"/>
  <c r="H32" i="1" s="1"/>
  <c r="C32" i="1"/>
  <c r="D32" i="1" s="1"/>
  <c r="C31" i="1"/>
  <c r="B31" i="1"/>
  <c r="D31" i="1" s="1"/>
  <c r="D30" i="1" s="1"/>
  <c r="M30" i="1"/>
  <c r="L30" i="1"/>
  <c r="K30" i="1"/>
  <c r="J30" i="1"/>
  <c r="I30" i="1"/>
  <c r="G30" i="1"/>
  <c r="F30" i="1"/>
  <c r="H29" i="1"/>
  <c r="D29" i="1"/>
  <c r="H28" i="1"/>
  <c r="D28" i="1"/>
  <c r="C28" i="1"/>
  <c r="H27" i="1"/>
  <c r="L26" i="1"/>
  <c r="H26" i="1"/>
  <c r="C26" i="1"/>
  <c r="D26" i="1" s="1"/>
  <c r="F25" i="1"/>
  <c r="H25" i="1" s="1"/>
  <c r="D24" i="1"/>
  <c r="D23" i="1"/>
  <c r="D22" i="1"/>
  <c r="H21" i="1"/>
  <c r="G21" i="1"/>
  <c r="C21" i="1"/>
  <c r="B21" i="1"/>
  <c r="D21" i="1" s="1"/>
  <c r="G20" i="1"/>
  <c r="H20" i="1" s="1"/>
  <c r="C20" i="1"/>
  <c r="B20" i="1"/>
  <c r="D20" i="1" s="1"/>
  <c r="H19" i="1"/>
  <c r="C19" i="1"/>
  <c r="C18" i="1" s="1"/>
  <c r="C11" i="1" s="1"/>
  <c r="C8" i="1" s="1"/>
  <c r="B19" i="1"/>
  <c r="D19" i="1" s="1"/>
  <c r="D18" i="1" s="1"/>
  <c r="D11" i="1" s="1"/>
  <c r="D8" i="1" s="1"/>
  <c r="B18" i="1"/>
  <c r="H17" i="1"/>
  <c r="H16" i="1"/>
  <c r="F16" i="1"/>
  <c r="H15" i="1"/>
  <c r="F15" i="1"/>
  <c r="L14" i="1"/>
  <c r="L11" i="1" s="1"/>
  <c r="L8" i="1" s="1"/>
  <c r="G14" i="1"/>
  <c r="F14" i="1"/>
  <c r="H14" i="1" s="1"/>
  <c r="H13" i="1"/>
  <c r="H11" i="1" s="1"/>
  <c r="H12" i="1"/>
  <c r="M11" i="1"/>
  <c r="K11" i="1"/>
  <c r="J11" i="1"/>
  <c r="I11" i="1"/>
  <c r="G11" i="1"/>
  <c r="F11" i="1"/>
  <c r="H10" i="1"/>
  <c r="D10" i="1"/>
  <c r="H9" i="1"/>
  <c r="D9" i="1"/>
  <c r="M8" i="1"/>
  <c r="M6" i="1" s="1"/>
  <c r="J8" i="1"/>
  <c r="I8" i="1"/>
  <c r="G8" i="1"/>
  <c r="F8" i="1"/>
  <c r="B8" i="1"/>
  <c r="H5" i="1"/>
  <c r="H30" i="1" l="1"/>
  <c r="H8" i="1"/>
  <c r="K54" i="1"/>
  <c r="K51" i="1" s="1"/>
  <c r="K8" i="1" s="1"/>
</calcChain>
</file>

<file path=xl/sharedStrings.xml><?xml version="1.0" encoding="utf-8"?>
<sst xmlns="http://schemas.openxmlformats.org/spreadsheetml/2006/main" count="84" uniqueCount="74">
  <si>
    <t>Інформація по використанню бюджетних та спеціальних коштів по ДНЗ № 43 станом на  06.12.2019 р.</t>
  </si>
  <si>
    <t>Бюджет</t>
  </si>
  <si>
    <t>Кошти спеціального фонду</t>
  </si>
  <si>
    <t>Бюджет розвитку</t>
  </si>
  <si>
    <t>інші надходження</t>
  </si>
  <si>
    <t>Затверд.</t>
  </si>
  <si>
    <t>Касові вид.</t>
  </si>
  <si>
    <t xml:space="preserve">Залишок </t>
  </si>
  <si>
    <t>надійшло за</t>
  </si>
  <si>
    <t>Касові видатки</t>
  </si>
  <si>
    <t>Залиш.</t>
  </si>
  <si>
    <t>благод.,спонсорські</t>
  </si>
  <si>
    <t>коштор.</t>
  </si>
  <si>
    <t>за 11 міс.</t>
  </si>
  <si>
    <t>коштів</t>
  </si>
  <si>
    <t>освіт.посл.</t>
  </si>
  <si>
    <t>за 09 міс.</t>
  </si>
  <si>
    <t>грошові</t>
  </si>
  <si>
    <t>негрошові</t>
  </si>
  <si>
    <t xml:space="preserve">надійшло    </t>
  </si>
  <si>
    <t>погодинна оренда</t>
  </si>
  <si>
    <t>Разом:</t>
  </si>
  <si>
    <t>2110 "Заробітна плата"</t>
  </si>
  <si>
    <t xml:space="preserve"> </t>
  </si>
  <si>
    <t>2120"Нарахування на заробітну плату</t>
  </si>
  <si>
    <t xml:space="preserve">2210"Предмети,матеріали,облад.та ін." </t>
  </si>
  <si>
    <t>гардероби дит., лавки</t>
  </si>
  <si>
    <t>електротовари,лампи, світильники</t>
  </si>
  <si>
    <t>буд.матеріали,фарба,пісок, шпалери</t>
  </si>
  <si>
    <t>бензин</t>
  </si>
  <si>
    <t>підписка</t>
  </si>
  <si>
    <t>фотофон ,сценічно-постановочні  костюми</t>
  </si>
  <si>
    <t xml:space="preserve">  - 300гривень на 1 дитину :</t>
  </si>
  <si>
    <t>сантехніка</t>
  </si>
  <si>
    <t>миючі та дезинфікуючі  засоби</t>
  </si>
  <si>
    <t>канцтовари, бланки,журнали</t>
  </si>
  <si>
    <t>килимове покриття</t>
  </si>
  <si>
    <t>наматрацники</t>
  </si>
  <si>
    <t>шафа дитяча, вішаки, тумби</t>
  </si>
  <si>
    <t>посуд, деко</t>
  </si>
  <si>
    <t>госптовари (т.папір, серветки, пакети д/сміття)</t>
  </si>
  <si>
    <t>іграшки дитячі, розвиваючі</t>
  </si>
  <si>
    <t>2220"Медикаменти та перев.матер".</t>
  </si>
  <si>
    <t>2230 "Продукти харчування"</t>
  </si>
  <si>
    <t>2240 "Оплата послуг крім комунальних"</t>
  </si>
  <si>
    <t>поточний ремонт покрівель</t>
  </si>
  <si>
    <t>обслуговування пожежної сигналізації</t>
  </si>
  <si>
    <t>поточний ремонт приміщень</t>
  </si>
  <si>
    <t>інтернет</t>
  </si>
  <si>
    <t>послуги зв"язку, ККЄ</t>
  </si>
  <si>
    <t>дератизація</t>
  </si>
  <si>
    <t>вим. опору, випроб.діелектр.ботізоляції,заземл.,запр.вогн.,перев.пож.рукавів</t>
  </si>
  <si>
    <t>повірка лічильників , ваг, гир</t>
  </si>
  <si>
    <t>медичний огляд</t>
  </si>
  <si>
    <t>заземлення, заправка вогнег., випроб.пож. Гідрантів</t>
  </si>
  <si>
    <t>зрізання дерев,вивіз,переробка  гілля</t>
  </si>
  <si>
    <t>програми,ремонт облад., комп. Техніки</t>
  </si>
  <si>
    <t>2250 "Видатки на відрядження"</t>
  </si>
  <si>
    <t>2271 "Оплата теплопостачання"</t>
  </si>
  <si>
    <t>2272 "Оплата водопостачання та водов".</t>
  </si>
  <si>
    <t>2273 "Оплата електроенергії"</t>
  </si>
  <si>
    <t>2275 "Оплата ін. комун. Послуг"</t>
  </si>
  <si>
    <t>2282 "Окремі заходи по реалізації державних (регіональних) програм, не віднесені до заходів розвитку</t>
  </si>
  <si>
    <t>2730 "Інші виплати населенню"</t>
  </si>
  <si>
    <t>2800 "Інші поточні видатки"</t>
  </si>
  <si>
    <t>3110 "Придбання облад і пре.дов.корис."</t>
  </si>
  <si>
    <t>Придбання євроконтейнерів</t>
  </si>
  <si>
    <t>обладнання для інклюзивних  груп</t>
  </si>
  <si>
    <t>ноутбук (інклюзія)</t>
  </si>
  <si>
    <t>3132 "Капітальний ремонт інших об"єктів"</t>
  </si>
  <si>
    <t>тех. Нагляд</t>
  </si>
  <si>
    <t>Експертиза на кап.рем-т</t>
  </si>
  <si>
    <t>Капітальний ремонт огорожі</t>
  </si>
  <si>
    <t xml:space="preserve">                                           Головний бухгалтер                                                                                             Пірог З.А.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</si>
</sst>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.5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8.5"/>
      <name val="Arial Cyr"/>
      <family val="2"/>
      <charset val="204"/>
    </font>
    <font>
      <b/>
      <sz val="8.5"/>
      <color rgb="FFFF0000"/>
      <name val="Arial Cyr"/>
      <family val="2"/>
      <charset val="204"/>
    </font>
    <font>
      <i/>
      <sz val="8.5"/>
      <name val="Arial Cyr"/>
      <family val="2"/>
      <charset val="204"/>
    </font>
    <font>
      <sz val="8.5"/>
      <color indexed="8"/>
      <name val="Arial Cyr"/>
      <family val="2"/>
      <charset val="204"/>
    </font>
    <font>
      <b/>
      <sz val="8.5"/>
      <color indexed="8"/>
      <name val="Arial Cyr"/>
      <family val="2"/>
      <charset val="204"/>
    </font>
    <font>
      <b/>
      <i/>
      <sz val="8.5"/>
      <name val="Arial Cyr"/>
      <family val="2"/>
      <charset val="204"/>
    </font>
    <font>
      <b/>
      <sz val="8.5"/>
      <name val="Arial Cyr"/>
      <charset val="204"/>
    </font>
    <font>
      <sz val="8.5"/>
      <name val="Arial Cyr"/>
      <charset val="204"/>
    </font>
    <font>
      <i/>
      <sz val="8.5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7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6" fillId="0" borderId="5" xfId="0" applyFont="1" applyBorder="1"/>
    <xf numFmtId="0" fontId="7" fillId="2" borderId="5" xfId="0" applyFont="1" applyFill="1" applyBorder="1"/>
    <xf numFmtId="0" fontId="7" fillId="0" borderId="5" xfId="0" applyFont="1" applyBorder="1"/>
    <xf numFmtId="2" fontId="8" fillId="0" borderId="5" xfId="0" applyNumberFormat="1" applyFont="1" applyBorder="1"/>
    <xf numFmtId="2" fontId="6" fillId="0" borderId="5" xfId="0" applyNumberFormat="1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Fill="1" applyBorder="1"/>
    <xf numFmtId="2" fontId="7" fillId="0" borderId="5" xfId="0" applyNumberFormat="1" applyFont="1" applyBorder="1"/>
    <xf numFmtId="0" fontId="6" fillId="0" borderId="7" xfId="0" applyFont="1" applyBorder="1"/>
    <xf numFmtId="0" fontId="7" fillId="0" borderId="7" xfId="0" applyFont="1" applyBorder="1"/>
    <xf numFmtId="2" fontId="7" fillId="0" borderId="5" xfId="0" applyNumberFormat="1" applyFont="1" applyFill="1" applyBorder="1"/>
    <xf numFmtId="0" fontId="9" fillId="0" borderId="5" xfId="0" applyFont="1" applyBorder="1"/>
    <xf numFmtId="2" fontId="9" fillId="0" borderId="5" xfId="0" applyNumberFormat="1" applyFont="1" applyBorder="1"/>
    <xf numFmtId="2" fontId="9" fillId="0" borderId="5" xfId="0" applyNumberFormat="1" applyFont="1" applyFill="1" applyBorder="1"/>
    <xf numFmtId="2" fontId="9" fillId="3" borderId="5" xfId="0" applyNumberFormat="1" applyFont="1" applyFill="1" applyBorder="1"/>
    <xf numFmtId="0" fontId="9" fillId="0" borderId="0" xfId="0" applyFont="1"/>
    <xf numFmtId="2" fontId="10" fillId="4" borderId="5" xfId="0" applyNumberFormat="1" applyFont="1" applyFill="1" applyBorder="1"/>
    <xf numFmtId="2" fontId="10" fillId="0" borderId="5" xfId="0" applyNumberFormat="1" applyFont="1" applyFill="1" applyBorder="1"/>
    <xf numFmtId="0" fontId="5" fillId="0" borderId="0" xfId="0" applyFont="1"/>
    <xf numFmtId="0" fontId="11" fillId="0" borderId="5" xfId="0" applyFont="1" applyBorder="1"/>
    <xf numFmtId="2" fontId="5" fillId="0" borderId="5" xfId="0" applyNumberFormat="1" applyFont="1" applyBorder="1"/>
    <xf numFmtId="2" fontId="5" fillId="0" borderId="5" xfId="0" applyNumberFormat="1" applyFont="1" applyFill="1" applyBorder="1"/>
    <xf numFmtId="2" fontId="12" fillId="0" borderId="5" xfId="0" applyNumberFormat="1" applyFont="1" applyFill="1" applyBorder="1"/>
    <xf numFmtId="2" fontId="13" fillId="0" borderId="5" xfId="0" applyNumberFormat="1" applyFont="1" applyFill="1" applyBorder="1"/>
    <xf numFmtId="0" fontId="14" fillId="0" borderId="5" xfId="0" applyFont="1" applyBorder="1"/>
    <xf numFmtId="2" fontId="15" fillId="0" borderId="5" xfId="0" applyNumberFormat="1" applyFont="1" applyFill="1" applyBorder="1"/>
    <xf numFmtId="2" fontId="16" fillId="0" borderId="5" xfId="0" applyNumberFormat="1" applyFont="1" applyBorder="1"/>
    <xf numFmtId="2" fontId="10" fillId="0" borderId="5" xfId="0" applyNumberFormat="1" applyFont="1" applyBorder="1"/>
    <xf numFmtId="2" fontId="9" fillId="4" borderId="5" xfId="0" applyNumberFormat="1" applyFont="1" applyFill="1" applyBorder="1"/>
    <xf numFmtId="0" fontId="9" fillId="0" borderId="5" xfId="0" applyFont="1" applyBorder="1" applyAlignment="1">
      <alignment wrapText="1"/>
    </xf>
    <xf numFmtId="0" fontId="17" fillId="0" borderId="5" xfId="0" applyFont="1" applyBorder="1"/>
    <xf numFmtId="0" fontId="16" fillId="0" borderId="5" xfId="0" applyFont="1" applyBorder="1"/>
    <xf numFmtId="0" fontId="0" fillId="0" borderId="0" xfId="0" applyAlignment="1">
      <alignment horizontal="left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60"/>
  <sheetViews>
    <sheetView tabSelected="1" view="pageLayout" zoomScaleNormal="100" zoomScaleSheetLayoutView="100" workbookViewId="0">
      <selection activeCell="E7" sqref="E7"/>
    </sheetView>
  </sheetViews>
  <sheetFormatPr defaultRowHeight="12.75" x14ac:dyDescent="0.2"/>
  <cols>
    <col min="1" max="1" width="42.5703125" customWidth="1"/>
    <col min="2" max="2" width="12" customWidth="1"/>
    <col min="3" max="3" width="11.42578125" style="57" customWidth="1"/>
    <col min="4" max="4" width="11.7109375" customWidth="1"/>
    <col min="5" max="5" width="9.85546875" customWidth="1"/>
    <col min="6" max="6" width="10.7109375" customWidth="1"/>
    <col min="7" max="7" width="11.5703125" customWidth="1"/>
    <col min="8" max="8" width="9.42578125" bestFit="1" customWidth="1"/>
    <col min="9" max="9" width="10.5703125" customWidth="1"/>
    <col min="10" max="10" width="12" customWidth="1"/>
    <col min="11" max="11" width="9.28515625" customWidth="1"/>
    <col min="12" max="13" width="9.28515625" bestFit="1" customWidth="1"/>
  </cols>
  <sheetData>
    <row r="1" spans="1:15" s="2" customFormat="1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s="10" customFormat="1" ht="12.75" customHeight="1" x14ac:dyDescent="0.2">
      <c r="A2" s="3"/>
      <c r="B2" s="4" t="s">
        <v>1</v>
      </c>
      <c r="C2" s="4"/>
      <c r="D2" s="4"/>
      <c r="E2" s="5" t="s">
        <v>2</v>
      </c>
      <c r="F2" s="6"/>
      <c r="G2" s="6"/>
      <c r="H2" s="7"/>
      <c r="I2" s="8" t="s">
        <v>3</v>
      </c>
      <c r="J2" s="8"/>
      <c r="K2" s="8"/>
      <c r="L2" s="9" t="s">
        <v>4</v>
      </c>
      <c r="M2" s="9"/>
    </row>
    <row r="3" spans="1:15" s="17" customFormat="1" ht="11.25" x14ac:dyDescent="0.2">
      <c r="A3" s="11"/>
      <c r="B3" s="12" t="s">
        <v>5</v>
      </c>
      <c r="C3" s="13" t="s">
        <v>6</v>
      </c>
      <c r="D3" s="14" t="s">
        <v>7</v>
      </c>
      <c r="E3" s="14" t="s">
        <v>8</v>
      </c>
      <c r="F3" s="14" t="s">
        <v>5</v>
      </c>
      <c r="G3" s="14" t="s">
        <v>6</v>
      </c>
      <c r="H3" s="14" t="s">
        <v>7</v>
      </c>
      <c r="I3" s="14" t="s">
        <v>5</v>
      </c>
      <c r="J3" s="14" t="s">
        <v>9</v>
      </c>
      <c r="K3" s="14" t="s">
        <v>10</v>
      </c>
      <c r="L3" s="15" t="s">
        <v>11</v>
      </c>
      <c r="M3" s="16"/>
    </row>
    <row r="4" spans="1:15" s="17" customFormat="1" ht="11.25" x14ac:dyDescent="0.2">
      <c r="A4" s="18"/>
      <c r="B4" s="12" t="s">
        <v>12</v>
      </c>
      <c r="C4" s="13" t="s">
        <v>13</v>
      </c>
      <c r="D4" s="14" t="s">
        <v>14</v>
      </c>
      <c r="E4" s="14" t="s">
        <v>15</v>
      </c>
      <c r="F4" s="14" t="s">
        <v>12</v>
      </c>
      <c r="G4" s="14" t="s">
        <v>13</v>
      </c>
      <c r="H4" s="14" t="s">
        <v>14</v>
      </c>
      <c r="I4" s="14" t="s">
        <v>12</v>
      </c>
      <c r="J4" s="14" t="s">
        <v>16</v>
      </c>
      <c r="K4" s="14" t="s">
        <v>14</v>
      </c>
      <c r="L4" s="19" t="s">
        <v>17</v>
      </c>
      <c r="M4" s="19" t="s">
        <v>18</v>
      </c>
    </row>
    <row r="5" spans="1:15" s="28" customFormat="1" ht="12" x14ac:dyDescent="0.2">
      <c r="A5" s="20" t="s">
        <v>7</v>
      </c>
      <c r="B5" s="21"/>
      <c r="C5" s="22"/>
      <c r="D5" s="23"/>
      <c r="E5" s="24">
        <v>60419.44</v>
      </c>
      <c r="F5" s="25"/>
      <c r="G5" s="25"/>
      <c r="H5" s="25">
        <f>E5+E6+E7-G8</f>
        <v>-10864.359999999986</v>
      </c>
      <c r="I5" s="23"/>
      <c r="J5" s="23"/>
      <c r="K5" s="23"/>
      <c r="L5" s="26">
        <v>5201.21</v>
      </c>
      <c r="M5" s="27"/>
    </row>
    <row r="6" spans="1:15" s="28" customFormat="1" ht="12" x14ac:dyDescent="0.2">
      <c r="A6" s="20" t="s">
        <v>19</v>
      </c>
      <c r="B6" s="29"/>
      <c r="C6" s="30"/>
      <c r="D6" s="25"/>
      <c r="E6" s="25">
        <v>276868</v>
      </c>
      <c r="F6" s="25"/>
      <c r="G6" s="25"/>
      <c r="H6" s="25"/>
      <c r="I6" s="25"/>
      <c r="J6" s="25"/>
      <c r="K6" s="25"/>
      <c r="L6" s="31">
        <v>12041.52</v>
      </c>
      <c r="M6" s="31">
        <f>M8</f>
        <v>650</v>
      </c>
    </row>
    <row r="7" spans="1:15" s="28" customFormat="1" ht="12" x14ac:dyDescent="0.2">
      <c r="A7" s="32" t="s">
        <v>20</v>
      </c>
      <c r="B7" s="29"/>
      <c r="C7" s="30"/>
      <c r="D7" s="25"/>
      <c r="E7" s="25">
        <v>1538</v>
      </c>
      <c r="F7" s="25"/>
      <c r="G7" s="25"/>
      <c r="H7" s="25"/>
      <c r="I7" s="25"/>
      <c r="J7" s="25"/>
      <c r="K7" s="25"/>
      <c r="L7" s="27"/>
      <c r="M7" s="27"/>
    </row>
    <row r="8" spans="1:15" s="28" customFormat="1" ht="12" x14ac:dyDescent="0.2">
      <c r="A8" s="33" t="s">
        <v>21</v>
      </c>
      <c r="B8" s="31">
        <f>B9+B10+B11+B29+B30+B44+B45+B46+B48+B50+B28+B47+B49</f>
        <v>10199939</v>
      </c>
      <c r="C8" s="34">
        <f>C9+C10+C11+C29+C30+C44+C45+C46+C48+C50+C28+C47+C49</f>
        <v>8134470.9999999991</v>
      </c>
      <c r="D8" s="31">
        <f>D9+D10+D11+D29+D30+D44+D45+D46+D48+D50+D28</f>
        <v>615134.27000000025</v>
      </c>
      <c r="E8" s="31"/>
      <c r="F8" s="31">
        <f>F9+F10+F11+F28+F29+F30+F43+F44+F45+F46+F48+F50+F51+F55</f>
        <v>432463</v>
      </c>
      <c r="G8" s="31">
        <f>G9+G10+G11+G28+G29+G30+G43+G44+G45+G46+G48+G50+G51+G55</f>
        <v>349689.8</v>
      </c>
      <c r="H8" s="31">
        <f>H9+H10+H11+H28+H29+H30+H43+H44+H45+H46+H48+H50+H51+H55</f>
        <v>82773.2</v>
      </c>
      <c r="I8" s="31">
        <f>I51+I55</f>
        <v>842332</v>
      </c>
      <c r="J8" s="31">
        <f>J9+J10+J11+J28+J29+J30+J43+J44+J45+J46+J48+J50+J51+J55</f>
        <v>809000</v>
      </c>
      <c r="K8" s="31">
        <f>K9+K10+K11+K28+K29+K30+K43+K44+K45+K46+K48+K50+K51+K55</f>
        <v>33332</v>
      </c>
      <c r="L8" s="31">
        <f>L9+L10+L11+L28+L29+L30+L43+L44+L45+L46+L48+L50+L51+L55</f>
        <v>8518.5499999999993</v>
      </c>
      <c r="M8" s="31">
        <f>M9+M10+M11+M28+M29+M30+M43+M44+M45+M46+M48+M50+M51+M55</f>
        <v>650</v>
      </c>
    </row>
    <row r="9" spans="1:15" s="39" customFormat="1" ht="11.25" x14ac:dyDescent="0.2">
      <c r="A9" s="35" t="s">
        <v>22</v>
      </c>
      <c r="B9" s="36">
        <v>5726357</v>
      </c>
      <c r="C9" s="37">
        <v>5307069.2699999996</v>
      </c>
      <c r="D9" s="36">
        <f>B9-C9</f>
        <v>419287.73000000045</v>
      </c>
      <c r="E9" s="36"/>
      <c r="F9" s="38">
        <v>176270</v>
      </c>
      <c r="G9" s="38">
        <v>134399.82</v>
      </c>
      <c r="H9" s="38">
        <f>F9-G9</f>
        <v>41870.179999999993</v>
      </c>
      <c r="I9" s="36"/>
      <c r="J9" s="36"/>
      <c r="K9" s="36"/>
      <c r="L9" s="36"/>
      <c r="M9" s="36"/>
      <c r="O9" s="39" t="s">
        <v>23</v>
      </c>
    </row>
    <row r="10" spans="1:15" s="39" customFormat="1" ht="11.25" x14ac:dyDescent="0.2">
      <c r="A10" s="35" t="s">
        <v>24</v>
      </c>
      <c r="B10" s="36">
        <v>1275097</v>
      </c>
      <c r="C10" s="37">
        <v>1216651.33</v>
      </c>
      <c r="D10" s="36">
        <f>B10-C10</f>
        <v>58445.669999999925</v>
      </c>
      <c r="E10" s="36"/>
      <c r="F10" s="38">
        <v>38780</v>
      </c>
      <c r="G10" s="38">
        <v>27104.62</v>
      </c>
      <c r="H10" s="38">
        <f>F10-G10</f>
        <v>11675.380000000001</v>
      </c>
      <c r="I10" s="36"/>
      <c r="J10" s="36"/>
      <c r="K10" s="36"/>
      <c r="L10" s="36"/>
      <c r="M10" s="36"/>
    </row>
    <row r="11" spans="1:15" s="42" customFormat="1" ht="11.25" x14ac:dyDescent="0.2">
      <c r="A11" s="35" t="s">
        <v>25</v>
      </c>
      <c r="B11" s="40">
        <v>1526593</v>
      </c>
      <c r="C11" s="41">
        <f>SUM(C12:C17)+C18</f>
        <v>74222.080000000002</v>
      </c>
      <c r="D11" s="40">
        <f>SUM(D12:D17)+D18</f>
        <v>370.91999999999825</v>
      </c>
      <c r="E11" s="36"/>
      <c r="F11" s="36">
        <f t="shared" ref="F11:L11" si="0">SUM(F12:F27)</f>
        <v>92298</v>
      </c>
      <c r="G11" s="36">
        <f t="shared" si="0"/>
        <v>84559.32</v>
      </c>
      <c r="H11" s="36">
        <f t="shared" si="0"/>
        <v>7738.68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8248.5499999999993</v>
      </c>
      <c r="M11" s="36">
        <f>SUM(M12:M27)</f>
        <v>650</v>
      </c>
    </row>
    <row r="12" spans="1:15" s="42" customFormat="1" ht="11.25" x14ac:dyDescent="0.2">
      <c r="A12" s="43" t="s">
        <v>26</v>
      </c>
      <c r="B12" s="44"/>
      <c r="C12" s="45"/>
      <c r="D12" s="44"/>
      <c r="E12" s="44"/>
      <c r="F12" s="44">
        <v>23504</v>
      </c>
      <c r="G12" s="44">
        <v>23504</v>
      </c>
      <c r="H12" s="44">
        <f t="shared" ref="H12:H29" si="1">F12-G12</f>
        <v>0</v>
      </c>
      <c r="I12" s="44"/>
      <c r="J12" s="44"/>
      <c r="K12" s="44"/>
      <c r="L12" s="44"/>
      <c r="M12" s="44"/>
    </row>
    <row r="13" spans="1:15" s="42" customFormat="1" ht="11.25" x14ac:dyDescent="0.2">
      <c r="A13" s="43" t="s">
        <v>27</v>
      </c>
      <c r="B13" s="44"/>
      <c r="C13" s="46"/>
      <c r="D13" s="44"/>
      <c r="E13" s="44"/>
      <c r="F13" s="44">
        <v>8800</v>
      </c>
      <c r="G13" s="44">
        <v>8777.16</v>
      </c>
      <c r="H13" s="44">
        <f t="shared" si="1"/>
        <v>22.840000000000146</v>
      </c>
      <c r="I13" s="44"/>
      <c r="J13" s="44"/>
      <c r="K13" s="44"/>
      <c r="L13" s="44"/>
      <c r="M13" s="44"/>
    </row>
    <row r="14" spans="1:15" s="42" customFormat="1" ht="11.25" x14ac:dyDescent="0.2">
      <c r="A14" s="43" t="s">
        <v>28</v>
      </c>
      <c r="B14" s="44"/>
      <c r="C14" s="45"/>
      <c r="D14" s="44"/>
      <c r="E14" s="44"/>
      <c r="F14" s="44">
        <f>1028+5200+656.81+180</f>
        <v>7064.8099999999995</v>
      </c>
      <c r="G14" s="44">
        <f>3501.76+3383.05+180</f>
        <v>7064.81</v>
      </c>
      <c r="H14" s="44">
        <f t="shared" si="1"/>
        <v>0</v>
      </c>
      <c r="I14" s="44"/>
      <c r="J14" s="44"/>
      <c r="K14" s="44"/>
      <c r="L14" s="44">
        <f>2095+2044+1758.29+1.42</f>
        <v>5898.71</v>
      </c>
      <c r="M14" s="44"/>
    </row>
    <row r="15" spans="1:15" s="42" customFormat="1" ht="11.25" x14ac:dyDescent="0.2">
      <c r="A15" s="43" t="s">
        <v>29</v>
      </c>
      <c r="B15" s="36"/>
      <c r="C15" s="47"/>
      <c r="D15" s="36"/>
      <c r="E15" s="44"/>
      <c r="F15" s="44">
        <f>1750-656.81</f>
        <v>1093.19</v>
      </c>
      <c r="G15" s="44">
        <v>981.75</v>
      </c>
      <c r="H15" s="44">
        <f t="shared" si="1"/>
        <v>111.44000000000005</v>
      </c>
      <c r="I15" s="44"/>
      <c r="J15" s="44"/>
      <c r="K15" s="44"/>
      <c r="L15" s="44"/>
      <c r="M15" s="44"/>
    </row>
    <row r="16" spans="1:15" s="42" customFormat="1" ht="11.25" x14ac:dyDescent="0.2">
      <c r="A16" s="43" t="s">
        <v>30</v>
      </c>
      <c r="B16" s="44"/>
      <c r="C16" s="45"/>
      <c r="D16" s="44"/>
      <c r="E16" s="44"/>
      <c r="F16" s="44">
        <f>5000-1870+3276</f>
        <v>6406</v>
      </c>
      <c r="G16" s="44">
        <v>6405.74</v>
      </c>
      <c r="H16" s="44">
        <f t="shared" si="1"/>
        <v>0.26000000000021828</v>
      </c>
      <c r="I16" s="44"/>
      <c r="J16" s="44"/>
      <c r="K16" s="44"/>
      <c r="L16" s="44"/>
      <c r="M16" s="44"/>
    </row>
    <row r="17" spans="1:13" s="42" customFormat="1" ht="11.25" x14ac:dyDescent="0.2">
      <c r="A17" s="43" t="s">
        <v>31</v>
      </c>
      <c r="B17" s="44"/>
      <c r="C17" s="45"/>
      <c r="D17" s="44"/>
      <c r="E17" s="44"/>
      <c r="F17" s="44">
        <v>1870</v>
      </c>
      <c r="G17" s="44">
        <v>1870</v>
      </c>
      <c r="H17" s="44">
        <f t="shared" si="1"/>
        <v>0</v>
      </c>
      <c r="I17" s="44"/>
      <c r="J17" s="44"/>
      <c r="K17" s="44"/>
      <c r="L17" s="44"/>
      <c r="M17" s="44">
        <v>650</v>
      </c>
    </row>
    <row r="18" spans="1:13" s="42" customFormat="1" ht="12" customHeight="1" x14ac:dyDescent="0.2">
      <c r="A18" s="48" t="s">
        <v>32</v>
      </c>
      <c r="B18" s="36">
        <f>SUM(B19:B27)</f>
        <v>74593.000000000015</v>
      </c>
      <c r="C18" s="36">
        <f>SUM(C19:C27)</f>
        <v>74222.080000000002</v>
      </c>
      <c r="D18" s="36">
        <f>SUM(D19:D27)</f>
        <v>370.91999999999825</v>
      </c>
      <c r="E18" s="44"/>
      <c r="F18" s="44"/>
      <c r="G18" s="44"/>
      <c r="H18" s="44"/>
      <c r="I18" s="44"/>
      <c r="J18" s="44"/>
      <c r="K18" s="44"/>
      <c r="L18" s="44"/>
      <c r="M18" s="44"/>
    </row>
    <row r="19" spans="1:13" s="42" customFormat="1" ht="11.25" customHeight="1" x14ac:dyDescent="0.2">
      <c r="A19" s="43" t="s">
        <v>33</v>
      </c>
      <c r="B19" s="44">
        <f>8000+24.46</f>
        <v>8024.46</v>
      </c>
      <c r="C19" s="46">
        <f>5599.92+2424.54</f>
        <v>8024.46</v>
      </c>
      <c r="D19" s="44">
        <f t="shared" ref="D19:D29" si="2">B19-C19</f>
        <v>0</v>
      </c>
      <c r="E19" s="44"/>
      <c r="F19" s="44"/>
      <c r="G19" s="44"/>
      <c r="H19" s="44">
        <f t="shared" si="1"/>
        <v>0</v>
      </c>
      <c r="I19" s="44"/>
      <c r="J19" s="44"/>
      <c r="K19" s="44"/>
      <c r="L19" s="44"/>
      <c r="M19" s="44"/>
    </row>
    <row r="20" spans="1:13" s="42" customFormat="1" ht="11.25" customHeight="1" x14ac:dyDescent="0.2">
      <c r="A20" s="43" t="s">
        <v>34</v>
      </c>
      <c r="B20" s="44">
        <f>22000-24.46</f>
        <v>21975.54</v>
      </c>
      <c r="C20" s="45">
        <f>12700.19+1865.45+7429.66</f>
        <v>21995.300000000003</v>
      </c>
      <c r="D20" s="44">
        <f t="shared" si="2"/>
        <v>-19.760000000002037</v>
      </c>
      <c r="E20" s="44"/>
      <c r="F20" s="44">
        <v>11800</v>
      </c>
      <c r="G20" s="44">
        <f>3948.12+1120.08+964.63+393.98+853.8+2001.89+1529.52+935.38</f>
        <v>11747.4</v>
      </c>
      <c r="H20" s="44">
        <f t="shared" si="1"/>
        <v>52.600000000000364</v>
      </c>
      <c r="I20" s="44"/>
      <c r="J20" s="44"/>
      <c r="K20" s="44"/>
      <c r="L20" s="44"/>
      <c r="M20" s="44"/>
    </row>
    <row r="21" spans="1:13" s="42" customFormat="1" ht="11.25" customHeight="1" x14ac:dyDescent="0.2">
      <c r="A21" s="43" t="s">
        <v>35</v>
      </c>
      <c r="B21" s="44">
        <f>10000-27-1707.24</f>
        <v>8265.76</v>
      </c>
      <c r="C21" s="45">
        <f>2084.4+5790.68</f>
        <v>7875.08</v>
      </c>
      <c r="D21" s="44">
        <f t="shared" si="2"/>
        <v>390.68000000000029</v>
      </c>
      <c r="E21" s="44"/>
      <c r="F21" s="44">
        <v>3000</v>
      </c>
      <c r="G21" s="44">
        <f>327+462.48+189+390.68</f>
        <v>1369.16</v>
      </c>
      <c r="H21" s="44">
        <f t="shared" si="1"/>
        <v>1630.84</v>
      </c>
      <c r="I21" s="44"/>
      <c r="J21" s="44"/>
      <c r="K21" s="44"/>
      <c r="L21" s="44">
        <v>540</v>
      </c>
      <c r="M21" s="44"/>
    </row>
    <row r="22" spans="1:13" s="42" customFormat="1" ht="11.25" customHeight="1" x14ac:dyDescent="0.2">
      <c r="A22" s="43" t="s">
        <v>36</v>
      </c>
      <c r="B22" s="44">
        <v>8000</v>
      </c>
      <c r="C22" s="45">
        <v>8000</v>
      </c>
      <c r="D22" s="44">
        <f t="shared" si="2"/>
        <v>0</v>
      </c>
      <c r="E22" s="44"/>
      <c r="F22" s="44"/>
      <c r="G22" s="44"/>
      <c r="H22" s="44"/>
      <c r="I22" s="44"/>
      <c r="J22" s="44"/>
      <c r="K22" s="44"/>
      <c r="L22" s="44"/>
      <c r="M22" s="44"/>
    </row>
    <row r="23" spans="1:13" s="42" customFormat="1" ht="11.25" customHeight="1" x14ac:dyDescent="0.2">
      <c r="A23" s="43" t="s">
        <v>37</v>
      </c>
      <c r="B23" s="44">
        <v>10620</v>
      </c>
      <c r="C23" s="45">
        <v>10620</v>
      </c>
      <c r="D23" s="44">
        <f t="shared" si="2"/>
        <v>0</v>
      </c>
      <c r="E23" s="44"/>
      <c r="F23" s="44"/>
      <c r="G23" s="44"/>
      <c r="H23" s="44"/>
      <c r="I23" s="44"/>
      <c r="J23" s="44"/>
      <c r="K23" s="44"/>
      <c r="L23" s="44"/>
      <c r="M23" s="44"/>
    </row>
    <row r="24" spans="1:13" s="42" customFormat="1" ht="11.25" customHeight="1" x14ac:dyDescent="0.2">
      <c r="A24" s="43" t="s">
        <v>38</v>
      </c>
      <c r="B24" s="44">
        <v>16000</v>
      </c>
      <c r="C24" s="46">
        <v>16000</v>
      </c>
      <c r="D24" s="44">
        <f t="shared" si="2"/>
        <v>0</v>
      </c>
      <c r="E24" s="44"/>
      <c r="F24" s="44">
        <v>21240</v>
      </c>
      <c r="G24" s="44">
        <v>21240</v>
      </c>
      <c r="H24" s="44"/>
      <c r="I24" s="44"/>
      <c r="J24" s="44"/>
      <c r="K24" s="44"/>
      <c r="L24" s="44"/>
      <c r="M24" s="44"/>
    </row>
    <row r="25" spans="1:13" s="42" customFormat="1" ht="11.25" customHeight="1" x14ac:dyDescent="0.2">
      <c r="A25" s="43" t="s">
        <v>39</v>
      </c>
      <c r="B25" s="44"/>
      <c r="C25" s="46"/>
      <c r="D25" s="44"/>
      <c r="E25" s="44"/>
      <c r="F25" s="44">
        <f>4200-180</f>
        <v>4020</v>
      </c>
      <c r="G25" s="44">
        <v>1390</v>
      </c>
      <c r="H25" s="44">
        <f t="shared" si="1"/>
        <v>2630</v>
      </c>
      <c r="I25" s="44"/>
      <c r="J25" s="44"/>
      <c r="K25" s="44"/>
      <c r="L25" s="44"/>
      <c r="M25" s="44"/>
    </row>
    <row r="26" spans="1:13" s="42" customFormat="1" ht="11.25" customHeight="1" x14ac:dyDescent="0.2">
      <c r="A26" s="43" t="s">
        <v>40</v>
      </c>
      <c r="B26" s="44">
        <v>1707.24</v>
      </c>
      <c r="C26" s="45">
        <f>791.04+916.2</f>
        <v>1707.24</v>
      </c>
      <c r="D26" s="44">
        <f t="shared" si="2"/>
        <v>0</v>
      </c>
      <c r="E26" s="44"/>
      <c r="F26" s="44">
        <v>500</v>
      </c>
      <c r="G26" s="44">
        <v>209.3</v>
      </c>
      <c r="H26" s="44">
        <f t="shared" si="1"/>
        <v>290.7</v>
      </c>
      <c r="I26" s="44"/>
      <c r="J26" s="44"/>
      <c r="K26" s="44"/>
      <c r="L26" s="44">
        <f>1202.52+607.32</f>
        <v>1809.8400000000001</v>
      </c>
      <c r="M26" s="44"/>
    </row>
    <row r="27" spans="1:13" s="42" customFormat="1" ht="11.25" customHeight="1" x14ac:dyDescent="0.2">
      <c r="A27" s="43" t="s">
        <v>41</v>
      </c>
      <c r="B27" s="44"/>
      <c r="C27" s="45"/>
      <c r="D27" s="44"/>
      <c r="E27" s="44"/>
      <c r="F27" s="44">
        <v>3000</v>
      </c>
      <c r="G27" s="44"/>
      <c r="H27" s="44">
        <f t="shared" si="1"/>
        <v>3000</v>
      </c>
      <c r="I27" s="44"/>
      <c r="J27" s="44"/>
      <c r="K27" s="44"/>
      <c r="L27" s="44"/>
      <c r="M27" s="44"/>
    </row>
    <row r="28" spans="1:13" s="42" customFormat="1" ht="11.25" x14ac:dyDescent="0.2">
      <c r="A28" s="35" t="s">
        <v>42</v>
      </c>
      <c r="B28" s="36">
        <v>3200</v>
      </c>
      <c r="C28" s="49">
        <f>606.6+681.4+1911.72</f>
        <v>3199.7200000000003</v>
      </c>
      <c r="D28" s="36">
        <f t="shared" si="2"/>
        <v>0.27999999999974534</v>
      </c>
      <c r="E28" s="36"/>
      <c r="F28" s="36">
        <v>500</v>
      </c>
      <c r="G28" s="50">
        <v>441</v>
      </c>
      <c r="H28" s="44">
        <f t="shared" si="1"/>
        <v>59</v>
      </c>
      <c r="I28" s="44"/>
      <c r="J28" s="44"/>
      <c r="K28" s="44"/>
      <c r="L28" s="36"/>
      <c r="M28" s="44"/>
    </row>
    <row r="29" spans="1:13" s="42" customFormat="1" ht="11.25" x14ac:dyDescent="0.2">
      <c r="A29" s="35" t="s">
        <v>43</v>
      </c>
      <c r="B29" s="36">
        <v>505978</v>
      </c>
      <c r="C29" s="37">
        <v>414672</v>
      </c>
      <c r="D29" s="36">
        <f t="shared" si="2"/>
        <v>91306</v>
      </c>
      <c r="E29" s="36"/>
      <c r="F29" s="44"/>
      <c r="G29" s="44"/>
      <c r="H29" s="44">
        <f t="shared" si="1"/>
        <v>0</v>
      </c>
      <c r="I29" s="44"/>
      <c r="J29" s="44"/>
      <c r="K29" s="44"/>
      <c r="L29" s="44"/>
      <c r="M29" s="44"/>
    </row>
    <row r="30" spans="1:13" s="42" customFormat="1" ht="12.75" customHeight="1" x14ac:dyDescent="0.2">
      <c r="A30" s="35" t="s">
        <v>44</v>
      </c>
      <c r="B30" s="51">
        <v>267537</v>
      </c>
      <c r="C30" s="51">
        <v>266406.31</v>
      </c>
      <c r="D30" s="51">
        <f>SUM(D31:D42)</f>
        <v>6902.100000000004</v>
      </c>
      <c r="E30" s="36"/>
      <c r="F30" s="36">
        <f>SUM(F32:F42)</f>
        <v>85017</v>
      </c>
      <c r="G30" s="36">
        <f>SUM(G31:G42)</f>
        <v>83186.039999999994</v>
      </c>
      <c r="H30" s="36">
        <f t="shared" ref="H30:M30" si="3">SUM(H32:H42)</f>
        <v>1830.9600000000009</v>
      </c>
      <c r="I30" s="36">
        <f t="shared" si="3"/>
        <v>0</v>
      </c>
      <c r="J30" s="36">
        <f t="shared" si="3"/>
        <v>0</v>
      </c>
      <c r="K30" s="36">
        <f t="shared" si="3"/>
        <v>0</v>
      </c>
      <c r="L30" s="36">
        <f t="shared" si="3"/>
        <v>0</v>
      </c>
      <c r="M30" s="36">
        <f t="shared" si="3"/>
        <v>0</v>
      </c>
    </row>
    <row r="31" spans="1:13" s="42" customFormat="1" ht="11.25" customHeight="1" x14ac:dyDescent="0.2">
      <c r="A31" s="43" t="s">
        <v>45</v>
      </c>
      <c r="B31" s="44">
        <f>225530+10000</f>
        <v>235530</v>
      </c>
      <c r="C31" s="45">
        <f>199824.15+34892.44</f>
        <v>234716.59</v>
      </c>
      <c r="D31" s="44">
        <f t="shared" ref="D31:D47" si="4">B31-C31</f>
        <v>813.41000000000349</v>
      </c>
      <c r="E31" s="36"/>
      <c r="F31" s="36"/>
      <c r="G31" s="36"/>
      <c r="H31" s="36"/>
      <c r="I31" s="36"/>
      <c r="J31" s="36"/>
      <c r="K31" s="36"/>
      <c r="L31" s="36"/>
      <c r="M31" s="36"/>
    </row>
    <row r="32" spans="1:13" s="42" customFormat="1" ht="11.25" customHeight="1" x14ac:dyDescent="0.2">
      <c r="A32" s="43" t="s">
        <v>46</v>
      </c>
      <c r="B32" s="44">
        <v>7260</v>
      </c>
      <c r="C32" s="45">
        <f>5436+340+265+604</f>
        <v>6645</v>
      </c>
      <c r="D32" s="44">
        <f t="shared" si="4"/>
        <v>615</v>
      </c>
      <c r="E32" s="44"/>
      <c r="F32" s="44">
        <v>550</v>
      </c>
      <c r="G32" s="44">
        <f>220+330</f>
        <v>550</v>
      </c>
      <c r="H32" s="44">
        <f t="shared" ref="H32:H47" si="5">F32-G32</f>
        <v>0</v>
      </c>
      <c r="I32" s="44"/>
      <c r="J32" s="44"/>
      <c r="K32" s="44"/>
      <c r="L32" s="44"/>
      <c r="M32" s="44"/>
    </row>
    <row r="33" spans="1:13" s="42" customFormat="1" ht="11.25" customHeight="1" x14ac:dyDescent="0.2">
      <c r="A33" s="43" t="s">
        <v>47</v>
      </c>
      <c r="B33" s="44">
        <v>5850</v>
      </c>
      <c r="C33" s="45">
        <v>5850</v>
      </c>
      <c r="D33" s="44">
        <f t="shared" si="4"/>
        <v>0</v>
      </c>
      <c r="E33" s="44"/>
      <c r="F33" s="44">
        <f>60000+5800+1900</f>
        <v>67700</v>
      </c>
      <c r="G33" s="44">
        <f>60000+7649.78</f>
        <v>67649.78</v>
      </c>
      <c r="H33" s="44">
        <f t="shared" si="5"/>
        <v>50.220000000001164</v>
      </c>
      <c r="I33" s="44"/>
      <c r="J33" s="44"/>
      <c r="K33" s="44"/>
      <c r="L33" s="44"/>
      <c r="M33" s="44"/>
    </row>
    <row r="34" spans="1:13" s="42" customFormat="1" ht="11.25" customHeight="1" x14ac:dyDescent="0.2">
      <c r="A34" s="43" t="s">
        <v>48</v>
      </c>
      <c r="B34" s="44">
        <v>420</v>
      </c>
      <c r="C34" s="45">
        <f>70+35+35+35+35+35+35+35+35+26.4</f>
        <v>376.4</v>
      </c>
      <c r="D34" s="44">
        <f t="shared" si="4"/>
        <v>43.600000000000023</v>
      </c>
      <c r="E34" s="44"/>
      <c r="F34" s="44">
        <v>420</v>
      </c>
      <c r="G34" s="44">
        <f>280+35+35</f>
        <v>350</v>
      </c>
      <c r="H34" s="44">
        <f>F34-G34</f>
        <v>70</v>
      </c>
      <c r="I34" s="44"/>
      <c r="J34" s="44"/>
      <c r="K34" s="44"/>
      <c r="L34" s="44"/>
      <c r="M34" s="44"/>
    </row>
    <row r="35" spans="1:13" s="42" customFormat="1" ht="11.25" customHeight="1" x14ac:dyDescent="0.2">
      <c r="A35" s="43" t="s">
        <v>49</v>
      </c>
      <c r="B35" s="44">
        <v>557</v>
      </c>
      <c r="C35" s="45">
        <f>77.29+41.11+47.14+43.59+35.91+40.87+40.91+35.9+40.9+38.84</f>
        <v>442.46000000000004</v>
      </c>
      <c r="D35" s="44">
        <f t="shared" si="4"/>
        <v>114.53999999999996</v>
      </c>
      <c r="E35" s="44"/>
      <c r="F35" s="44">
        <v>557</v>
      </c>
      <c r="G35" s="44">
        <f>326.82+1.99+35.9+0.23+0.23+40.89</f>
        <v>406.06</v>
      </c>
      <c r="H35" s="44">
        <f>F35-G35</f>
        <v>150.94</v>
      </c>
      <c r="I35" s="44"/>
      <c r="J35" s="44"/>
      <c r="K35" s="44"/>
      <c r="L35" s="44"/>
      <c r="M35" s="44"/>
    </row>
    <row r="36" spans="1:13" s="42" customFormat="1" ht="11.25" customHeight="1" x14ac:dyDescent="0.2">
      <c r="A36" s="43" t="s">
        <v>50</v>
      </c>
      <c r="B36" s="44">
        <f>1800+500</f>
        <v>2300</v>
      </c>
      <c r="C36" s="45">
        <f>328.32+328.32+328.32+328.32+328.32+328.32+328.32+328.32</f>
        <v>2626.56</v>
      </c>
      <c r="D36" s="44">
        <f t="shared" si="4"/>
        <v>-326.55999999999995</v>
      </c>
      <c r="E36" s="44"/>
      <c r="F36" s="44"/>
      <c r="G36" s="44"/>
      <c r="H36" s="44"/>
      <c r="I36" s="44"/>
      <c r="J36" s="44"/>
      <c r="K36" s="44"/>
      <c r="L36" s="44"/>
      <c r="M36" s="44"/>
    </row>
    <row r="37" spans="1:13" s="42" customFormat="1" ht="11.25" customHeight="1" x14ac:dyDescent="0.2">
      <c r="A37" s="43" t="s">
        <v>51</v>
      </c>
      <c r="B37" s="44">
        <v>1450</v>
      </c>
      <c r="C37" s="45"/>
      <c r="D37" s="44">
        <f t="shared" si="4"/>
        <v>1450</v>
      </c>
      <c r="E37" s="44"/>
      <c r="F37" s="44">
        <v>1350</v>
      </c>
      <c r="G37" s="44">
        <f>931.64+190</f>
        <v>1121.6399999999999</v>
      </c>
      <c r="H37" s="44">
        <f t="shared" si="5"/>
        <v>228.36000000000013</v>
      </c>
      <c r="I37" s="44"/>
      <c r="J37" s="44"/>
      <c r="K37" s="44"/>
      <c r="L37" s="44"/>
      <c r="M37" s="44"/>
    </row>
    <row r="38" spans="1:13" s="42" customFormat="1" ht="11.25" customHeight="1" x14ac:dyDescent="0.2">
      <c r="A38" s="43" t="s">
        <v>52</v>
      </c>
      <c r="B38" s="44">
        <v>2500</v>
      </c>
      <c r="C38" s="45">
        <v>744.89</v>
      </c>
      <c r="D38" s="44">
        <f t="shared" si="4"/>
        <v>1755.1100000000001</v>
      </c>
      <c r="E38" s="44"/>
      <c r="F38" s="44"/>
      <c r="G38" s="44"/>
      <c r="H38" s="44">
        <f t="shared" si="5"/>
        <v>0</v>
      </c>
      <c r="I38" s="44"/>
      <c r="J38" s="44"/>
      <c r="K38" s="44"/>
      <c r="L38" s="44"/>
      <c r="M38" s="44"/>
    </row>
    <row r="39" spans="1:13" s="42" customFormat="1" ht="11.25" customHeight="1" x14ac:dyDescent="0.2">
      <c r="A39" s="43" t="s">
        <v>53</v>
      </c>
      <c r="B39" s="44">
        <f>8520+2000</f>
        <v>10520</v>
      </c>
      <c r="C39" s="45">
        <f>720+4790+3010+2000</f>
        <v>10520</v>
      </c>
      <c r="D39" s="44">
        <f t="shared" si="4"/>
        <v>0</v>
      </c>
      <c r="E39" s="44"/>
      <c r="F39" s="44">
        <v>2138</v>
      </c>
      <c r="G39" s="44">
        <v>2138</v>
      </c>
      <c r="H39" s="44">
        <f t="shared" si="5"/>
        <v>0</v>
      </c>
      <c r="I39" s="44"/>
      <c r="J39" s="44"/>
      <c r="K39" s="44"/>
      <c r="L39" s="44"/>
      <c r="M39" s="44"/>
    </row>
    <row r="40" spans="1:13" s="42" customFormat="1" ht="11.25" customHeight="1" x14ac:dyDescent="0.2">
      <c r="A40" s="43" t="s">
        <v>54</v>
      </c>
      <c r="B40" s="44">
        <v>4000</v>
      </c>
      <c r="C40" s="45">
        <v>1773</v>
      </c>
      <c r="D40" s="44">
        <f t="shared" si="4"/>
        <v>2227</v>
      </c>
      <c r="E40" s="44"/>
      <c r="F40" s="44">
        <v>950</v>
      </c>
      <c r="G40" s="44"/>
      <c r="H40" s="44">
        <f t="shared" si="5"/>
        <v>950</v>
      </c>
      <c r="I40" s="44"/>
      <c r="J40" s="44"/>
      <c r="K40" s="44"/>
      <c r="L40" s="44"/>
      <c r="M40" s="44"/>
    </row>
    <row r="41" spans="1:13" s="42" customFormat="1" ht="11.25" customHeight="1" x14ac:dyDescent="0.2">
      <c r="A41" s="43" t="s">
        <v>55</v>
      </c>
      <c r="B41" s="44"/>
      <c r="C41" s="45"/>
      <c r="D41" s="44"/>
      <c r="E41" s="44"/>
      <c r="F41" s="44">
        <f>2000+9530-5800</f>
        <v>5730</v>
      </c>
      <c r="G41" s="44">
        <f>1242.57+61.4+4376.59</f>
        <v>5680.56</v>
      </c>
      <c r="H41" s="44">
        <f t="shared" si="5"/>
        <v>49.4399999999996</v>
      </c>
      <c r="I41" s="44"/>
      <c r="J41" s="44"/>
      <c r="K41" s="44"/>
      <c r="L41" s="44"/>
      <c r="M41" s="44"/>
    </row>
    <row r="42" spans="1:13" s="42" customFormat="1" ht="11.25" customHeight="1" x14ac:dyDescent="0.2">
      <c r="A42" s="43" t="s">
        <v>56</v>
      </c>
      <c r="B42" s="44">
        <v>3000</v>
      </c>
      <c r="C42" s="45">
        <v>2790</v>
      </c>
      <c r="D42" s="44">
        <f t="shared" si="4"/>
        <v>210</v>
      </c>
      <c r="E42" s="44"/>
      <c r="F42" s="44">
        <f>5180+442</f>
        <v>5622</v>
      </c>
      <c r="G42" s="44">
        <f>4320+660+200+110</f>
        <v>5290</v>
      </c>
      <c r="H42" s="44">
        <f t="shared" si="5"/>
        <v>332</v>
      </c>
      <c r="I42" s="44"/>
      <c r="J42" s="44"/>
      <c r="K42" s="44"/>
      <c r="L42" s="44"/>
      <c r="M42" s="44"/>
    </row>
    <row r="43" spans="1:13" s="42" customFormat="1" ht="11.25" x14ac:dyDescent="0.2">
      <c r="A43" s="35" t="s">
        <v>57</v>
      </c>
      <c r="B43" s="36">
        <v>0</v>
      </c>
      <c r="C43" s="37">
        <v>0</v>
      </c>
      <c r="D43" s="36">
        <f t="shared" si="4"/>
        <v>0</v>
      </c>
      <c r="E43" s="36"/>
      <c r="F43" s="36"/>
      <c r="G43" s="36"/>
      <c r="H43" s="36"/>
      <c r="I43" s="44"/>
      <c r="J43" s="44"/>
      <c r="K43" s="44"/>
      <c r="L43" s="44"/>
      <c r="M43" s="44"/>
    </row>
    <row r="44" spans="1:13" s="42" customFormat="1" ht="11.25" x14ac:dyDescent="0.2">
      <c r="A44" s="35" t="s">
        <v>58</v>
      </c>
      <c r="B44" s="52">
        <f>627272+75200</f>
        <v>702472</v>
      </c>
      <c r="C44" s="37">
        <f>223474.76+134998.69+60491.25+19133.16+264353.4</f>
        <v>702451.26</v>
      </c>
      <c r="D44" s="36">
        <f t="shared" si="4"/>
        <v>20.739999999990687</v>
      </c>
      <c r="E44" s="36"/>
      <c r="F44" s="36">
        <v>3898</v>
      </c>
      <c r="G44" s="36">
        <v>1949</v>
      </c>
      <c r="H44" s="36">
        <f t="shared" si="5"/>
        <v>1949</v>
      </c>
      <c r="I44" s="44"/>
      <c r="J44" s="44"/>
      <c r="K44" s="44"/>
      <c r="L44" s="44"/>
      <c r="M44" s="44"/>
    </row>
    <row r="45" spans="1:13" s="42" customFormat="1" ht="11.25" x14ac:dyDescent="0.2">
      <c r="A45" s="35" t="s">
        <v>59</v>
      </c>
      <c r="B45" s="52">
        <v>35735</v>
      </c>
      <c r="C45" s="37">
        <v>22323.03</v>
      </c>
      <c r="D45" s="36">
        <f t="shared" si="4"/>
        <v>13411.970000000001</v>
      </c>
      <c r="E45" s="36"/>
      <c r="F45" s="36">
        <v>5172</v>
      </c>
      <c r="G45" s="36">
        <v>4672</v>
      </c>
      <c r="H45" s="36">
        <f t="shared" si="5"/>
        <v>500</v>
      </c>
      <c r="I45" s="44"/>
      <c r="J45" s="44"/>
      <c r="K45" s="44"/>
      <c r="L45" s="44"/>
      <c r="M45" s="44"/>
    </row>
    <row r="46" spans="1:13" s="42" customFormat="1" ht="11.25" x14ac:dyDescent="0.2">
      <c r="A46" s="35" t="s">
        <v>60</v>
      </c>
      <c r="B46" s="52">
        <v>146190</v>
      </c>
      <c r="C46" s="37">
        <v>120801.14</v>
      </c>
      <c r="D46" s="36">
        <f t="shared" si="4"/>
        <v>25388.86</v>
      </c>
      <c r="E46" s="36"/>
      <c r="F46" s="36">
        <v>13378</v>
      </c>
      <c r="G46" s="36">
        <v>13378</v>
      </c>
      <c r="H46" s="36">
        <f t="shared" si="5"/>
        <v>0</v>
      </c>
      <c r="I46" s="44"/>
      <c r="J46" s="44"/>
      <c r="K46" s="44"/>
      <c r="L46" s="44"/>
      <c r="M46" s="44"/>
    </row>
    <row r="47" spans="1:13" s="42" customFormat="1" ht="11.25" x14ac:dyDescent="0.2">
      <c r="A47" s="35" t="s">
        <v>61</v>
      </c>
      <c r="B47" s="52">
        <v>7630</v>
      </c>
      <c r="C47" s="37">
        <v>6024.86</v>
      </c>
      <c r="D47" s="36">
        <f t="shared" si="4"/>
        <v>1605.1400000000003</v>
      </c>
      <c r="E47" s="36"/>
      <c r="F47" s="36">
        <v>1000</v>
      </c>
      <c r="G47" s="36">
        <v>590.16999999999996</v>
      </c>
      <c r="H47" s="36">
        <f t="shared" si="5"/>
        <v>409.83000000000004</v>
      </c>
      <c r="I47" s="44"/>
      <c r="J47" s="44"/>
      <c r="K47" s="44"/>
      <c r="L47" s="44"/>
      <c r="M47" s="44"/>
    </row>
    <row r="48" spans="1:13" s="42" customFormat="1" ht="23.25" customHeight="1" x14ac:dyDescent="0.2">
      <c r="A48" s="53" t="s">
        <v>62</v>
      </c>
      <c r="B48" s="52">
        <v>650</v>
      </c>
      <c r="C48" s="37">
        <v>650</v>
      </c>
      <c r="D48" s="36">
        <f>B48-C48</f>
        <v>0</v>
      </c>
      <c r="E48" s="36"/>
      <c r="F48" s="36"/>
      <c r="G48" s="36"/>
      <c r="H48" s="36"/>
      <c r="I48" s="44"/>
      <c r="J48" s="44"/>
      <c r="K48" s="44"/>
      <c r="L48" s="44">
        <v>270</v>
      </c>
      <c r="M48" s="44"/>
    </row>
    <row r="49" spans="1:13" s="42" customFormat="1" ht="11.25" x14ac:dyDescent="0.2">
      <c r="A49" s="35" t="s">
        <v>63</v>
      </c>
      <c r="B49" s="52">
        <v>2500</v>
      </c>
      <c r="C49" s="37">
        <v>0</v>
      </c>
      <c r="D49" s="36">
        <f>B49-C49</f>
        <v>2500</v>
      </c>
      <c r="E49" s="36"/>
      <c r="F49" s="36"/>
      <c r="G49" s="36"/>
      <c r="H49" s="36"/>
      <c r="I49" s="44"/>
      <c r="J49" s="44"/>
      <c r="K49" s="44"/>
      <c r="L49" s="44"/>
      <c r="M49" s="44"/>
    </row>
    <row r="50" spans="1:13" s="42" customFormat="1" ht="11.25" x14ac:dyDescent="0.2">
      <c r="A50" s="35" t="s">
        <v>64</v>
      </c>
      <c r="B50" s="52"/>
      <c r="C50" s="37"/>
      <c r="D50" s="36">
        <f>B50-C50</f>
        <v>0</v>
      </c>
      <c r="E50" s="36"/>
      <c r="F50" s="36">
        <v>150</v>
      </c>
      <c r="G50" s="36">
        <v>0</v>
      </c>
      <c r="H50" s="36">
        <f>F50-G50</f>
        <v>150</v>
      </c>
      <c r="I50" s="44"/>
      <c r="J50" s="44"/>
      <c r="K50" s="44"/>
      <c r="L50" s="44"/>
      <c r="M50" s="44"/>
    </row>
    <row r="51" spans="1:13" s="42" customFormat="1" ht="11.25" x14ac:dyDescent="0.2">
      <c r="A51" s="35" t="s">
        <v>65</v>
      </c>
      <c r="B51" s="36">
        <f>SUM(B52:B53)</f>
        <v>0</v>
      </c>
      <c r="C51" s="37">
        <f>SUM(C52:C53)</f>
        <v>0</v>
      </c>
      <c r="D51" s="36">
        <f>SUM(D52:D53)</f>
        <v>0</v>
      </c>
      <c r="E51" s="36"/>
      <c r="F51" s="36">
        <f>SUM(F52:F53)</f>
        <v>17000</v>
      </c>
      <c r="G51" s="36">
        <f>SUM(G52:G53)</f>
        <v>0</v>
      </c>
      <c r="H51" s="36">
        <f>F51-G51</f>
        <v>17000</v>
      </c>
      <c r="I51" s="36">
        <f>SUM(I52:I54)</f>
        <v>93765</v>
      </c>
      <c r="J51" s="36">
        <f>SUM(J52:J54)</f>
        <v>92685</v>
      </c>
      <c r="K51" s="36">
        <f>SUM(K52:K54)</f>
        <v>1080</v>
      </c>
      <c r="L51" s="36">
        <f>SUM(L52:L53)</f>
        <v>0</v>
      </c>
      <c r="M51" s="36">
        <f>SUM(M52:M53)</f>
        <v>0</v>
      </c>
    </row>
    <row r="52" spans="1:13" s="42" customFormat="1" ht="11.25" x14ac:dyDescent="0.2">
      <c r="A52" s="43" t="s">
        <v>66</v>
      </c>
      <c r="B52" s="44"/>
      <c r="C52" s="45"/>
      <c r="D52" s="44"/>
      <c r="E52" s="44"/>
      <c r="F52" s="44"/>
      <c r="G52" s="44"/>
      <c r="H52" s="36">
        <f>F52-G52</f>
        <v>0</v>
      </c>
      <c r="I52" s="44">
        <v>9000</v>
      </c>
      <c r="J52" s="44">
        <v>7920</v>
      </c>
      <c r="K52" s="44">
        <f t="shared" ref="K52:K58" si="6">I52-J52</f>
        <v>1080</v>
      </c>
      <c r="L52" s="44"/>
      <c r="M52" s="44"/>
    </row>
    <row r="53" spans="1:13" s="42" customFormat="1" ht="11.25" x14ac:dyDescent="0.2">
      <c r="A53" s="54" t="s">
        <v>67</v>
      </c>
      <c r="B53" s="44"/>
      <c r="C53" s="45"/>
      <c r="D53" s="44"/>
      <c r="E53" s="44"/>
      <c r="F53" s="44">
        <v>17000</v>
      </c>
      <c r="G53" s="44"/>
      <c r="H53" s="36">
        <f>F53-G53</f>
        <v>17000</v>
      </c>
      <c r="I53" s="44">
        <f>84765-16118.2</f>
        <v>68646.8</v>
      </c>
      <c r="J53" s="44">
        <v>68646.8</v>
      </c>
      <c r="K53" s="44">
        <f t="shared" si="6"/>
        <v>0</v>
      </c>
      <c r="L53" s="44"/>
      <c r="M53" s="44"/>
    </row>
    <row r="54" spans="1:13" s="42" customFormat="1" ht="11.25" x14ac:dyDescent="0.2">
      <c r="A54" s="54" t="s">
        <v>68</v>
      </c>
      <c r="B54" s="44"/>
      <c r="C54" s="45"/>
      <c r="D54" s="44"/>
      <c r="E54" s="44"/>
      <c r="F54" s="44"/>
      <c r="G54" s="44"/>
      <c r="H54" s="36"/>
      <c r="I54" s="44">
        <v>16118.2</v>
      </c>
      <c r="J54" s="44">
        <v>16118.2</v>
      </c>
      <c r="K54" s="44">
        <f>I53-J53</f>
        <v>0</v>
      </c>
      <c r="L54" s="44"/>
      <c r="M54" s="44"/>
    </row>
    <row r="55" spans="1:13" s="42" customFormat="1" ht="11.25" x14ac:dyDescent="0.2">
      <c r="A55" s="35" t="s">
        <v>69</v>
      </c>
      <c r="B55" s="44"/>
      <c r="C55" s="45"/>
      <c r="D55" s="44"/>
      <c r="E55" s="36"/>
      <c r="F55" s="36">
        <v>0</v>
      </c>
      <c r="G55" s="36">
        <v>0</v>
      </c>
      <c r="H55" s="36">
        <v>0</v>
      </c>
      <c r="I55" s="36">
        <f>I58+I56+I57</f>
        <v>748567</v>
      </c>
      <c r="J55" s="36">
        <f>J58+J56+J57</f>
        <v>716315</v>
      </c>
      <c r="K55" s="36">
        <f t="shared" si="6"/>
        <v>32252</v>
      </c>
      <c r="L55" s="44"/>
      <c r="M55" s="44"/>
    </row>
    <row r="56" spans="1:13" s="42" customFormat="1" ht="11.25" x14ac:dyDescent="0.2">
      <c r="A56" s="55" t="s">
        <v>70</v>
      </c>
      <c r="B56" s="44"/>
      <c r="C56" s="45"/>
      <c r="D56" s="44"/>
      <c r="E56" s="36"/>
      <c r="F56" s="36"/>
      <c r="G56" s="36"/>
      <c r="H56" s="36"/>
      <c r="I56" s="50">
        <f>4739.37+5428.43</f>
        <v>10167.799999999999</v>
      </c>
      <c r="J56" s="50">
        <v>10167.799999999999</v>
      </c>
      <c r="K56" s="50">
        <f t="shared" si="6"/>
        <v>0</v>
      </c>
      <c r="L56" s="44"/>
      <c r="M56" s="44"/>
    </row>
    <row r="57" spans="1:13" s="42" customFormat="1" ht="11.25" x14ac:dyDescent="0.2">
      <c r="A57" s="55" t="s">
        <v>71</v>
      </c>
      <c r="B57" s="44"/>
      <c r="C57" s="45"/>
      <c r="D57" s="44"/>
      <c r="E57" s="36"/>
      <c r="F57" s="36"/>
      <c r="G57" s="36"/>
      <c r="H57" s="36"/>
      <c r="I57" s="50">
        <v>3240</v>
      </c>
      <c r="J57" s="50">
        <v>3240</v>
      </c>
      <c r="K57" s="50">
        <f t="shared" si="6"/>
        <v>0</v>
      </c>
      <c r="L57" s="44"/>
      <c r="M57" s="44"/>
    </row>
    <row r="58" spans="1:13" s="42" customFormat="1" ht="11.25" x14ac:dyDescent="0.2">
      <c r="A58" s="43" t="s">
        <v>72</v>
      </c>
      <c r="B58" s="44"/>
      <c r="C58" s="45"/>
      <c r="D58" s="44"/>
      <c r="E58" s="44"/>
      <c r="F58" s="44"/>
      <c r="G58" s="44"/>
      <c r="H58" s="44">
        <f>F58-G58</f>
        <v>0</v>
      </c>
      <c r="I58" s="50">
        <f>748567-4739.37-3240-5428.43</f>
        <v>735159.2</v>
      </c>
      <c r="J58" s="50">
        <v>702907.2</v>
      </c>
      <c r="K58" s="50">
        <f t="shared" si="6"/>
        <v>32252</v>
      </c>
      <c r="L58" s="44"/>
      <c r="M58" s="44"/>
    </row>
    <row r="60" spans="1:13" ht="18.75" customHeight="1" x14ac:dyDescent="0.2">
      <c r="A60" s="56" t="s">
        <v>73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</row>
  </sheetData>
  <sheetProtection selectLockedCells="1" selectUnlockedCells="1"/>
  <mergeCells count="6">
    <mergeCell ref="A1:K1"/>
    <mergeCell ref="B2:D2"/>
    <mergeCell ref="E2:H2"/>
    <mergeCell ref="I2:K2"/>
    <mergeCell ref="L2:M2"/>
    <mergeCell ref="A60:K60"/>
  </mergeCells>
  <pageMargins left="0.23125000000000001" right="0.25" top="0.24666666666666667" bottom="0.24541666666666667" header="0.41" footer="0.3"/>
  <pageSetup paperSize="9" scale="7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43</vt:lpstr>
      <vt:lpstr>'43'!Область_печати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2019-12-23T12:12:11Z</dcterms:created>
  <dcterms:modified xsi:type="dcterms:W3CDTF">2019-12-23T12:12:20Z</dcterms:modified>
</cp:coreProperties>
</file>