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49" sheetId="1" r:id="rId1"/>
  </sheets>
  <definedNames>
    <definedName name="_xlnm.Print_Area" localSheetId="0">'49'!$A$1:$M$57</definedName>
  </definedNames>
  <calcPr calcId="144525"/>
</workbook>
</file>

<file path=xl/calcChain.xml><?xml version="1.0" encoding="utf-8"?>
<calcChain xmlns="http://schemas.openxmlformats.org/spreadsheetml/2006/main">
  <c r="K54" i="1" l="1"/>
  <c r="H54" i="1"/>
  <c r="D54" i="1"/>
  <c r="K53" i="1"/>
  <c r="H53" i="1"/>
  <c r="M52" i="1"/>
  <c r="J52" i="1"/>
  <c r="I52" i="1"/>
  <c r="K52" i="1" s="1"/>
  <c r="H52" i="1"/>
  <c r="G52" i="1"/>
  <c r="F52" i="1"/>
  <c r="C52" i="1"/>
  <c r="B52" i="1"/>
  <c r="D52" i="1" s="1"/>
  <c r="H51" i="1"/>
  <c r="D51" i="1"/>
  <c r="D50" i="1"/>
  <c r="D49" i="1"/>
  <c r="B49" i="1"/>
  <c r="H48" i="1"/>
  <c r="D48" i="1"/>
  <c r="H47" i="1"/>
  <c r="D47" i="1"/>
  <c r="H46" i="1"/>
  <c r="D46" i="1"/>
  <c r="H45" i="1"/>
  <c r="D45" i="1"/>
  <c r="H44" i="1"/>
  <c r="D44" i="1"/>
  <c r="H43" i="1"/>
  <c r="C43" i="1"/>
  <c r="B43" i="1"/>
  <c r="D43" i="1" s="1"/>
  <c r="H42" i="1"/>
  <c r="C42" i="1"/>
  <c r="B42" i="1"/>
  <c r="D42" i="1" s="1"/>
  <c r="H41" i="1"/>
  <c r="C41" i="1"/>
  <c r="B41" i="1"/>
  <c r="D41" i="1" s="1"/>
  <c r="H40" i="1"/>
  <c r="G40" i="1"/>
  <c r="D40" i="1"/>
  <c r="B40" i="1"/>
  <c r="H39" i="1"/>
  <c r="G39" i="1"/>
  <c r="D39" i="1"/>
  <c r="C39" i="1"/>
  <c r="D38" i="1"/>
  <c r="G37" i="1"/>
  <c r="H37" i="1" s="1"/>
  <c r="D37" i="1"/>
  <c r="H36" i="1"/>
  <c r="G36" i="1"/>
  <c r="D36" i="1"/>
  <c r="C36" i="1"/>
  <c r="C35" i="1"/>
  <c r="B35" i="1"/>
  <c r="D35" i="1" s="1"/>
  <c r="G34" i="1"/>
  <c r="H34" i="1" s="1"/>
  <c r="H30" i="1" s="1"/>
  <c r="C34" i="1"/>
  <c r="D34" i="1" s="1"/>
  <c r="H33" i="1"/>
  <c r="D33" i="1"/>
  <c r="H32" i="1"/>
  <c r="D32" i="1"/>
  <c r="H31" i="1"/>
  <c r="D31" i="1"/>
  <c r="D30" i="1" s="1"/>
  <c r="M30" i="1"/>
  <c r="L30" i="1"/>
  <c r="K30" i="1"/>
  <c r="J30" i="1"/>
  <c r="I30" i="1"/>
  <c r="G30" i="1"/>
  <c r="F30" i="1"/>
  <c r="B30" i="1"/>
  <c r="H29" i="1"/>
  <c r="D29" i="1"/>
  <c r="H28" i="1"/>
  <c r="D28" i="1"/>
  <c r="H27" i="1"/>
  <c r="D27" i="1"/>
  <c r="H26" i="1"/>
  <c r="D26" i="1"/>
  <c r="H25" i="1"/>
  <c r="D25" i="1"/>
  <c r="C25" i="1"/>
  <c r="H24" i="1"/>
  <c r="C24" i="1"/>
  <c r="D24" i="1" s="1"/>
  <c r="H23" i="1"/>
  <c r="D23" i="1"/>
  <c r="B23" i="1"/>
  <c r="G22" i="1"/>
  <c r="F22" i="1"/>
  <c r="H22" i="1" s="1"/>
  <c r="B22" i="1"/>
  <c r="D22" i="1" s="1"/>
  <c r="H21" i="1"/>
  <c r="C21" i="1"/>
  <c r="B21" i="1"/>
  <c r="D21" i="1" s="1"/>
  <c r="C20" i="1"/>
  <c r="G18" i="1"/>
  <c r="F18" i="1"/>
  <c r="H18" i="1" s="1"/>
  <c r="H17" i="1"/>
  <c r="H16" i="1"/>
  <c r="G15" i="1"/>
  <c r="H15" i="1" s="1"/>
  <c r="F14" i="1"/>
  <c r="H14" i="1" s="1"/>
  <c r="G12" i="1"/>
  <c r="H12" i="1" s="1"/>
  <c r="M11" i="1"/>
  <c r="K11" i="1"/>
  <c r="J11" i="1"/>
  <c r="I11" i="1"/>
  <c r="G11" i="1"/>
  <c r="C11" i="1"/>
  <c r="H10" i="1"/>
  <c r="D10" i="1"/>
  <c r="H9" i="1"/>
  <c r="D9" i="1"/>
  <c r="M8" i="1"/>
  <c r="L8" i="1"/>
  <c r="K8" i="1"/>
  <c r="J8" i="1"/>
  <c r="I8" i="1"/>
  <c r="G8" i="1"/>
  <c r="C8" i="1"/>
  <c r="M6" i="1"/>
  <c r="H5" i="1"/>
  <c r="H11" i="1" l="1"/>
  <c r="H8" i="1" s="1"/>
  <c r="F11" i="1"/>
  <c r="F8" i="1" s="1"/>
  <c r="B20" i="1"/>
  <c r="B11" i="1" l="1"/>
  <c r="D20" i="1"/>
  <c r="D11" i="1" l="1"/>
  <c r="D8" i="1" s="1"/>
  <c r="B8" i="1"/>
</calcChain>
</file>

<file path=xl/sharedStrings.xml><?xml version="1.0" encoding="utf-8"?>
<sst xmlns="http://schemas.openxmlformats.org/spreadsheetml/2006/main" count="79" uniqueCount="73">
  <si>
    <t>Інформація по використанню бюджетних та спеціальних коштів по ДНЗ № 49 станом на 06.12.2019 р.</t>
  </si>
  <si>
    <t>Бюджет</t>
  </si>
  <si>
    <t>Кошти спеціального фонду</t>
  </si>
  <si>
    <t>Бюджет розвитку</t>
  </si>
  <si>
    <t>інші надходження</t>
  </si>
  <si>
    <t>Затвердж.</t>
  </si>
  <si>
    <t>Касові видатки</t>
  </si>
  <si>
    <t xml:space="preserve">Залишок </t>
  </si>
  <si>
    <t>надійшло за</t>
  </si>
  <si>
    <t>Касові вид.</t>
  </si>
  <si>
    <t>Затверджено</t>
  </si>
  <si>
    <t xml:space="preserve">Залиш. </t>
  </si>
  <si>
    <t>благод.,спонсорські</t>
  </si>
  <si>
    <t>кошторис.</t>
  </si>
  <si>
    <t>за 11 міс.</t>
  </si>
  <si>
    <t>коштів</t>
  </si>
  <si>
    <t>освіт.посл.</t>
  </si>
  <si>
    <t>за 10 міс.</t>
  </si>
  <si>
    <t>кошторисом</t>
  </si>
  <si>
    <t>за 09 міс.</t>
  </si>
  <si>
    <t>грошові</t>
  </si>
  <si>
    <t>негрошові</t>
  </si>
  <si>
    <t xml:space="preserve">залишок </t>
  </si>
  <si>
    <t xml:space="preserve">надійшло </t>
  </si>
  <si>
    <t>погодинна оренда</t>
  </si>
  <si>
    <t>Разом:</t>
  </si>
  <si>
    <t>2110 "Заробітна плата"</t>
  </si>
  <si>
    <t>2120"Нарахування на заробітну плату</t>
  </si>
  <si>
    <t xml:space="preserve">2210"Предмети,матеріали,облад.та ін." </t>
  </si>
  <si>
    <t>вікна,  двері</t>
  </si>
  <si>
    <t>квіти  росткові</t>
  </si>
  <si>
    <t>лінолеум</t>
  </si>
  <si>
    <t>будівельні  матеріали(фарба)</t>
  </si>
  <si>
    <t>конвектори, двері,ролети, жалюзі</t>
  </si>
  <si>
    <t>методична  література</t>
  </si>
  <si>
    <t>підписка</t>
  </si>
  <si>
    <t>Матеріали від списання</t>
  </si>
  <si>
    <t xml:space="preserve">  - 300гривень на 1 дитину :</t>
  </si>
  <si>
    <t>миючі  та дезинфікуючі  засоби</t>
  </si>
  <si>
    <t>канцтовари,  бланки</t>
  </si>
  <si>
    <t>шафа дитяча гардеробна</t>
  </si>
  <si>
    <t>сантехніка( мийка, змішувач)</t>
  </si>
  <si>
    <t>LED-панель, лампи</t>
  </si>
  <si>
    <t>госптовари( серветки, драйки)</t>
  </si>
  <si>
    <t>тканина(бязь наб.)</t>
  </si>
  <si>
    <t>2220"Медикаменти та перев.матер".</t>
  </si>
  <si>
    <t>2230 "Продукти харчування"</t>
  </si>
  <si>
    <t>2240 "Оплата послуг крім комунальних"</t>
  </si>
  <si>
    <t>поточний ремонт покрівель</t>
  </si>
  <si>
    <t>поточний ремонт системи теплопостачання</t>
  </si>
  <si>
    <t>поточний ремонт каналізаційної  системи</t>
  </si>
  <si>
    <t>послуги зв"язку, ККЄ</t>
  </si>
  <si>
    <t>дератизація</t>
  </si>
  <si>
    <t>інтернет</t>
  </si>
  <si>
    <t>експрес-доставка, електрмонтажні  роботи</t>
  </si>
  <si>
    <t>протипожежні заходи</t>
  </si>
  <si>
    <t>цілодоб.спостереж.та обслуг.пожеж.сигн-ції</t>
  </si>
  <si>
    <t>програми, ремонт обладнання,комп. Техніки</t>
  </si>
  <si>
    <t>медичний огляд</t>
  </si>
  <si>
    <t>повірка лічильника,ваг, гир</t>
  </si>
  <si>
    <t>вим. опору,ізоляції,заземл.,запр.вогн.,перев.пож.рукавів</t>
  </si>
  <si>
    <t>2250 "Видатки на відрядження"</t>
  </si>
  <si>
    <t>2271 "Оплата теплопостачання"</t>
  </si>
  <si>
    <t>2272 "Оплата водопостачання та водов".</t>
  </si>
  <si>
    <t>2273 "Оплата електроенергії"</t>
  </si>
  <si>
    <t>2275  "Оплата ін. комун. Послуг"</t>
  </si>
  <si>
    <t>2282 "Окремі заходи по реалізації державних (регіональних) програм, не віднесені до заходів розвитку</t>
  </si>
  <si>
    <t>2730 "Інші виплати населенню"</t>
  </si>
  <si>
    <t>2800 "Інші поточні видатки"</t>
  </si>
  <si>
    <t>3110 "Придб. облад і пре.дов.корис."</t>
  </si>
  <si>
    <t>придбання євроконтейнерів</t>
  </si>
  <si>
    <t>3132 "Капітальний ремонт інших об"єктів"</t>
  </si>
  <si>
    <t xml:space="preserve">                                      Головний бухгалтер                                                                                                      Пірог З.А.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</si>
</sst>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.5"/>
      <name val="Arial Cyr"/>
      <charset val="204"/>
    </font>
    <font>
      <b/>
      <sz val="8.5"/>
      <name val="Arial Cyr"/>
      <charset val="204"/>
    </font>
    <font>
      <sz val="8.5"/>
      <name val="Arial Cyr"/>
      <family val="2"/>
      <charset val="204"/>
    </font>
    <font>
      <sz val="8"/>
      <name val="Arial Cyr"/>
      <family val="2"/>
      <charset val="204"/>
    </font>
    <font>
      <b/>
      <sz val="8.5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i/>
      <sz val="8.5"/>
      <name val="Arial Cyr"/>
      <family val="2"/>
      <charset val="204"/>
    </font>
    <font>
      <b/>
      <sz val="7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7" xfId="0" applyFont="1" applyBorder="1"/>
    <xf numFmtId="2" fontId="4" fillId="0" borderId="2" xfId="0" applyNumberFormat="1" applyFont="1" applyBorder="1"/>
    <xf numFmtId="2" fontId="4" fillId="0" borderId="5" xfId="0" applyNumberFormat="1" applyFont="1" applyFill="1" applyBorder="1"/>
    <xf numFmtId="2" fontId="4" fillId="0" borderId="5" xfId="0" applyNumberFormat="1" applyFont="1" applyBorder="1"/>
    <xf numFmtId="2" fontId="6" fillId="2" borderId="5" xfId="0" applyNumberFormat="1" applyFont="1" applyFill="1" applyBorder="1"/>
    <xf numFmtId="2" fontId="6" fillId="0" borderId="5" xfId="0" applyNumberFormat="1" applyFont="1" applyBorder="1"/>
    <xf numFmtId="2" fontId="4" fillId="0" borderId="1" xfId="0" applyNumberFormat="1" applyFont="1" applyBorder="1"/>
    <xf numFmtId="0" fontId="4" fillId="0" borderId="0" xfId="0" applyFont="1"/>
    <xf numFmtId="2" fontId="6" fillId="0" borderId="2" xfId="0" applyNumberFormat="1" applyFont="1" applyBorder="1"/>
    <xf numFmtId="2" fontId="6" fillId="0" borderId="5" xfId="0" applyNumberFormat="1" applyFont="1" applyFill="1" applyBorder="1"/>
    <xf numFmtId="2" fontId="6" fillId="0" borderId="3" xfId="0" applyNumberFormat="1" applyFont="1" applyBorder="1"/>
    <xf numFmtId="2" fontId="6" fillId="0" borderId="8" xfId="0" applyNumberFormat="1" applyFont="1" applyBorder="1"/>
    <xf numFmtId="2" fontId="4" fillId="0" borderId="3" xfId="0" applyNumberFormat="1" applyFont="1" applyBorder="1"/>
    <xf numFmtId="2" fontId="4" fillId="0" borderId="8" xfId="0" applyNumberFormat="1" applyFont="1" applyBorder="1"/>
    <xf numFmtId="0" fontId="7" fillId="0" borderId="7" xfId="0" applyFont="1" applyBorder="1"/>
    <xf numFmtId="2" fontId="7" fillId="0" borderId="5" xfId="0" applyNumberFormat="1" applyFont="1" applyBorder="1"/>
    <xf numFmtId="2" fontId="7" fillId="0" borderId="3" xfId="0" applyNumberFormat="1" applyFont="1" applyBorder="1"/>
    <xf numFmtId="2" fontId="7" fillId="0" borderId="8" xfId="0" applyNumberFormat="1" applyFont="1" applyBorder="1"/>
    <xf numFmtId="0" fontId="7" fillId="0" borderId="0" xfId="0" applyFont="1" applyBorder="1"/>
    <xf numFmtId="0" fontId="8" fillId="0" borderId="0" xfId="0" applyFont="1"/>
    <xf numFmtId="0" fontId="6" fillId="0" borderId="5" xfId="0" applyFont="1" applyBorder="1"/>
    <xf numFmtId="2" fontId="6" fillId="4" borderId="5" xfId="0" applyNumberFormat="1" applyFont="1" applyFill="1" applyBorder="1"/>
    <xf numFmtId="2" fontId="6" fillId="0" borderId="7" xfId="0" applyNumberFormat="1" applyFont="1" applyBorder="1"/>
    <xf numFmtId="0" fontId="6" fillId="0" borderId="0" xfId="0" applyFont="1"/>
    <xf numFmtId="0" fontId="4" fillId="0" borderId="5" xfId="0" applyFont="1" applyBorder="1"/>
    <xf numFmtId="2" fontId="4" fillId="5" borderId="5" xfId="0" applyNumberFormat="1" applyFont="1" applyFill="1" applyBorder="1"/>
    <xf numFmtId="0" fontId="9" fillId="0" borderId="5" xfId="0" applyFont="1" applyBorder="1"/>
    <xf numFmtId="2" fontId="6" fillId="0" borderId="5" xfId="0" applyNumberFormat="1" applyFont="1" applyBorder="1" applyAlignment="1">
      <alignment horizontal="left" indent="1"/>
    </xf>
    <xf numFmtId="2" fontId="2" fillId="0" borderId="5" xfId="0" applyNumberFormat="1" applyFont="1" applyBorder="1"/>
    <xf numFmtId="2" fontId="6" fillId="5" borderId="5" xfId="0" applyNumberFormat="1" applyFont="1" applyFill="1" applyBorder="1"/>
    <xf numFmtId="0" fontId="10" fillId="0" borderId="5" xfId="0" applyFont="1" applyBorder="1" applyAlignment="1">
      <alignment wrapText="1"/>
    </xf>
    <xf numFmtId="0" fontId="3" fillId="0" borderId="5" xfId="0" applyFont="1" applyBorder="1"/>
    <xf numFmtId="2" fontId="3" fillId="0" borderId="5" xfId="0" applyNumberFormat="1" applyFont="1" applyBorder="1"/>
    <xf numFmtId="2" fontId="3" fillId="0" borderId="5" xfId="0" applyNumberFormat="1" applyFont="1" applyFill="1" applyBorder="1"/>
    <xf numFmtId="0" fontId="3" fillId="0" borderId="0" xfId="0" applyFont="1"/>
    <xf numFmtId="0" fontId="8" fillId="0" borderId="0" xfId="0" applyFont="1" applyFill="1"/>
    <xf numFmtId="0" fontId="0" fillId="0" borderId="0" xfId="0" applyFill="1"/>
    <xf numFmtId="0" fontId="3" fillId="2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1628775</xdr:colOff>
      <xdr:row>5</xdr:row>
      <xdr:rowOff>28575</xdr:rowOff>
    </xdr:from>
    <xdr:to>
      <xdr:col>0</xdr:col>
      <xdr:colOff>1704975</xdr:colOff>
      <xdr:row>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28775" y="857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56"/>
  <sheetViews>
    <sheetView tabSelected="1" showWhiteSpace="0" view="pageLayout" zoomScaleNormal="100" workbookViewId="0">
      <selection activeCell="D30" sqref="D30"/>
    </sheetView>
  </sheetViews>
  <sheetFormatPr defaultRowHeight="12.75" x14ac:dyDescent="0.2"/>
  <cols>
    <col min="1" max="1" width="41.28515625" customWidth="1"/>
    <col min="2" max="2" width="11.42578125" customWidth="1"/>
    <col min="3" max="3" width="12.28515625" style="48" customWidth="1"/>
    <col min="4" max="4" width="12" customWidth="1"/>
    <col min="5" max="5" width="9.7109375" customWidth="1"/>
    <col min="6" max="6" width="10.140625" customWidth="1"/>
    <col min="7" max="7" width="10.28515625" customWidth="1"/>
    <col min="8" max="9" width="10.5703125" customWidth="1"/>
    <col min="10" max="10" width="12.140625" customWidth="1"/>
    <col min="11" max="11" width="7.7109375" customWidth="1"/>
    <col min="12" max="12" width="10.28515625" customWidth="1"/>
    <col min="13" max="13" width="12.5703125" customWidth="1"/>
  </cols>
  <sheetData>
    <row r="1" spans="1:17" s="1" customFormat="1" ht="18.75" customHeight="1" x14ac:dyDescent="0.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7" s="3" customFormat="1" ht="12.75" customHeight="1" x14ac:dyDescent="0.2">
      <c r="A2" s="2"/>
      <c r="B2" s="54" t="s">
        <v>1</v>
      </c>
      <c r="C2" s="54"/>
      <c r="D2" s="54"/>
      <c r="E2" s="55" t="s">
        <v>2</v>
      </c>
      <c r="F2" s="56"/>
      <c r="G2" s="56"/>
      <c r="H2" s="57"/>
      <c r="I2" s="58" t="s">
        <v>3</v>
      </c>
      <c r="J2" s="58"/>
      <c r="K2" s="58"/>
      <c r="L2" s="49" t="s">
        <v>4</v>
      </c>
      <c r="M2" s="49"/>
    </row>
    <row r="3" spans="1:17" s="9" customFormat="1" ht="11.25" x14ac:dyDescent="0.2">
      <c r="A3" s="4"/>
      <c r="B3" s="5" t="s">
        <v>5</v>
      </c>
      <c r="C3" s="6" t="s">
        <v>6</v>
      </c>
      <c r="D3" s="7" t="s">
        <v>7</v>
      </c>
      <c r="E3" s="7" t="s">
        <v>8</v>
      </c>
      <c r="F3" s="7" t="s">
        <v>5</v>
      </c>
      <c r="G3" s="7" t="s">
        <v>9</v>
      </c>
      <c r="H3" s="7" t="s">
        <v>7</v>
      </c>
      <c r="I3" s="7" t="s">
        <v>10</v>
      </c>
      <c r="J3" s="8" t="s">
        <v>6</v>
      </c>
      <c r="K3" s="7" t="s">
        <v>11</v>
      </c>
      <c r="L3" s="50" t="s">
        <v>12</v>
      </c>
      <c r="M3" s="51"/>
    </row>
    <row r="4" spans="1:17" s="9" customFormat="1" ht="11.25" x14ac:dyDescent="0.2">
      <c r="A4" s="10"/>
      <c r="B4" s="5" t="s">
        <v>13</v>
      </c>
      <c r="C4" s="6" t="s">
        <v>14</v>
      </c>
      <c r="D4" s="7" t="s">
        <v>15</v>
      </c>
      <c r="E4" s="7" t="s">
        <v>16</v>
      </c>
      <c r="F4" s="7" t="s">
        <v>13</v>
      </c>
      <c r="G4" s="7" t="s">
        <v>17</v>
      </c>
      <c r="H4" s="7" t="s">
        <v>15</v>
      </c>
      <c r="I4" s="7" t="s">
        <v>18</v>
      </c>
      <c r="J4" s="7" t="s">
        <v>19</v>
      </c>
      <c r="K4" s="7" t="s">
        <v>15</v>
      </c>
      <c r="L4" s="11" t="s">
        <v>20</v>
      </c>
      <c r="M4" s="11" t="s">
        <v>21</v>
      </c>
    </row>
    <row r="5" spans="1:17" s="19" customFormat="1" ht="11.25" x14ac:dyDescent="0.2">
      <c r="A5" s="12" t="s">
        <v>22</v>
      </c>
      <c r="B5" s="13"/>
      <c r="C5" s="14"/>
      <c r="D5" s="15"/>
      <c r="E5" s="16">
        <v>5427.22</v>
      </c>
      <c r="F5" s="17"/>
      <c r="G5" s="17"/>
      <c r="H5" s="17">
        <f>E5+E6+E7-G8</f>
        <v>-7106.3390000000363</v>
      </c>
      <c r="I5" s="15"/>
      <c r="J5" s="15"/>
      <c r="K5" s="15"/>
      <c r="L5" s="17">
        <v>4868.9799999999996</v>
      </c>
      <c r="M5" s="18"/>
    </row>
    <row r="6" spans="1:17" s="19" customFormat="1" ht="11.25" x14ac:dyDescent="0.2">
      <c r="A6" s="12" t="s">
        <v>23</v>
      </c>
      <c r="B6" s="20"/>
      <c r="C6" s="21"/>
      <c r="D6" s="17"/>
      <c r="E6" s="17">
        <v>366295</v>
      </c>
      <c r="F6" s="17"/>
      <c r="G6" s="17"/>
      <c r="H6" s="17"/>
      <c r="I6" s="17"/>
      <c r="J6" s="17"/>
      <c r="K6" s="17"/>
      <c r="L6" s="22">
        <v>803</v>
      </c>
      <c r="M6" s="23">
        <f>M8</f>
        <v>11444</v>
      </c>
    </row>
    <row r="7" spans="1:17" s="19" customFormat="1" ht="11.25" x14ac:dyDescent="0.2">
      <c r="A7" s="12" t="s">
        <v>24</v>
      </c>
      <c r="B7" s="20"/>
      <c r="C7" s="21"/>
      <c r="D7" s="17"/>
      <c r="E7" s="17">
        <v>1094</v>
      </c>
      <c r="F7" s="17"/>
      <c r="G7" s="17"/>
      <c r="H7" s="17"/>
      <c r="I7" s="17"/>
      <c r="J7" s="17"/>
      <c r="K7" s="17"/>
      <c r="L7" s="24"/>
      <c r="M7" s="25"/>
    </row>
    <row r="8" spans="1:17" s="31" customFormat="1" ht="12" x14ac:dyDescent="0.2">
      <c r="A8" s="26" t="s">
        <v>25</v>
      </c>
      <c r="B8" s="27">
        <f>B9+B10+B11+B28+B29+B30+B44+B45+B46+B47+B48+B49+B50</f>
        <v>7482548.7999999998</v>
      </c>
      <c r="C8" s="27">
        <f>C9+C10+C11+C28+C29+C30+C44+C45+C46+C47+C48+C49+C50</f>
        <v>6720679.3300000001</v>
      </c>
      <c r="D8" s="27">
        <f>D9+D10+D11+D28+D29+D30+D44+D45+D46+D47+D48+D49+D50</f>
        <v>761186.35</v>
      </c>
      <c r="E8" s="27"/>
      <c r="F8" s="27">
        <f>F9+F10+F11+F28+F29+F44+F45+F46+F47+F49+F51+F53+F30</f>
        <v>405827</v>
      </c>
      <c r="G8" s="27">
        <f>G9+G10+G11+G28+G29+G44+G45+G46+G47+G49+G51+G30+G48+G52+G54</f>
        <v>379922.55900000001</v>
      </c>
      <c r="H8" s="27">
        <f t="shared" ref="H8:M8" si="0">H9+H10+H11+H28+H29+H44+H45+H46+H47+H49+H51+H53+H30</f>
        <v>35712.790999999983</v>
      </c>
      <c r="I8" s="27">
        <f t="shared" si="0"/>
        <v>9000</v>
      </c>
      <c r="J8" s="27">
        <f t="shared" si="0"/>
        <v>7920</v>
      </c>
      <c r="K8" s="27">
        <f t="shared" si="0"/>
        <v>1080</v>
      </c>
      <c r="L8" s="28">
        <f t="shared" si="0"/>
        <v>5466.82</v>
      </c>
      <c r="M8" s="29">
        <f t="shared" si="0"/>
        <v>11444</v>
      </c>
      <c r="N8" s="30"/>
      <c r="O8" s="30"/>
      <c r="P8" s="30"/>
      <c r="Q8" s="30"/>
    </row>
    <row r="9" spans="1:17" s="35" customFormat="1" ht="11.25" x14ac:dyDescent="0.2">
      <c r="A9" s="32" t="s">
        <v>26</v>
      </c>
      <c r="B9" s="17">
        <v>4913188</v>
      </c>
      <c r="C9" s="21">
        <v>4429732.54</v>
      </c>
      <c r="D9" s="17">
        <f>B9-C9</f>
        <v>483455.45999999996</v>
      </c>
      <c r="E9" s="17"/>
      <c r="F9" s="33">
        <v>206940</v>
      </c>
      <c r="G9" s="33">
        <v>198889.57</v>
      </c>
      <c r="H9" s="33">
        <f>F9-G9</f>
        <v>8050.429999999993</v>
      </c>
      <c r="I9" s="17"/>
      <c r="J9" s="17"/>
      <c r="K9" s="17"/>
      <c r="L9" s="17"/>
      <c r="M9" s="34"/>
    </row>
    <row r="10" spans="1:17" s="35" customFormat="1" ht="11.25" x14ac:dyDescent="0.2">
      <c r="A10" s="32" t="s">
        <v>27</v>
      </c>
      <c r="B10" s="17">
        <v>1086019</v>
      </c>
      <c r="C10" s="21">
        <v>973692.38</v>
      </c>
      <c r="D10" s="17">
        <f>B10-C10</f>
        <v>112326.62</v>
      </c>
      <c r="E10" s="17"/>
      <c r="F10" s="33">
        <v>45520</v>
      </c>
      <c r="G10" s="33">
        <v>43714.47</v>
      </c>
      <c r="H10" s="33">
        <f>F10-G10</f>
        <v>1805.5299999999988</v>
      </c>
      <c r="I10" s="17"/>
      <c r="J10" s="17"/>
      <c r="K10" s="17"/>
      <c r="L10" s="17"/>
      <c r="M10" s="17"/>
    </row>
    <row r="11" spans="1:17" s="19" customFormat="1" ht="11.25" x14ac:dyDescent="0.2">
      <c r="A11" s="32" t="s">
        <v>28</v>
      </c>
      <c r="B11" s="17">
        <f>SUM(B12:B20)</f>
        <v>84515</v>
      </c>
      <c r="C11" s="21">
        <f>SUM(C12:C20)</f>
        <v>79829.13</v>
      </c>
      <c r="D11" s="17">
        <f>B11-C11</f>
        <v>4685.8699999999953</v>
      </c>
      <c r="E11" s="17"/>
      <c r="F11" s="17">
        <f t="shared" ref="F11:K11" si="1">SUM(F12:F27)</f>
        <v>109126</v>
      </c>
      <c r="G11" s="17">
        <f t="shared" si="1"/>
        <v>90557.250000000015</v>
      </c>
      <c r="H11" s="17">
        <f t="shared" si="1"/>
        <v>18568.749999999993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v>3768</v>
      </c>
      <c r="M11" s="17">
        <f>SUM(M12:M27)</f>
        <v>11444</v>
      </c>
    </row>
    <row r="12" spans="1:17" s="19" customFormat="1" ht="10.5" customHeight="1" x14ac:dyDescent="0.2">
      <c r="A12" s="36" t="s">
        <v>29</v>
      </c>
      <c r="B12" s="15"/>
      <c r="C12" s="14"/>
      <c r="D12" s="17"/>
      <c r="E12" s="17"/>
      <c r="F12" s="37">
        <v>28600</v>
      </c>
      <c r="G12" s="15">
        <f>14224+13787</f>
        <v>28011</v>
      </c>
      <c r="H12" s="15">
        <f t="shared" ref="H12:H29" si="2">F12-G12</f>
        <v>589</v>
      </c>
      <c r="I12" s="17"/>
      <c r="J12" s="17"/>
      <c r="K12" s="17"/>
      <c r="L12" s="15"/>
      <c r="M12" s="17"/>
    </row>
    <row r="13" spans="1:17" s="19" customFormat="1" ht="10.5" customHeight="1" x14ac:dyDescent="0.2">
      <c r="A13" s="36" t="s">
        <v>30</v>
      </c>
      <c r="B13" s="15"/>
      <c r="C13" s="14"/>
      <c r="D13" s="17"/>
      <c r="E13" s="17"/>
      <c r="F13" s="37"/>
      <c r="G13" s="17"/>
      <c r="H13" s="15"/>
      <c r="I13" s="17"/>
      <c r="J13" s="17"/>
      <c r="K13" s="17"/>
      <c r="L13" s="15"/>
      <c r="M13" s="17">
        <v>2250</v>
      </c>
    </row>
    <row r="14" spans="1:17" s="19" customFormat="1" ht="10.5" customHeight="1" x14ac:dyDescent="0.2">
      <c r="A14" s="36" t="s">
        <v>31</v>
      </c>
      <c r="B14" s="15"/>
      <c r="C14" s="14"/>
      <c r="D14" s="17"/>
      <c r="E14" s="17"/>
      <c r="F14" s="37">
        <f>17000-1800-2092-561</f>
        <v>12547</v>
      </c>
      <c r="G14" s="17"/>
      <c r="H14" s="15">
        <f t="shared" si="2"/>
        <v>12547</v>
      </c>
      <c r="I14" s="17"/>
      <c r="J14" s="17"/>
      <c r="K14" s="17"/>
      <c r="L14" s="15"/>
      <c r="M14" s="15"/>
    </row>
    <row r="15" spans="1:17" s="19" customFormat="1" ht="10.5" customHeight="1" x14ac:dyDescent="0.2">
      <c r="A15" s="36" t="s">
        <v>32</v>
      </c>
      <c r="B15" s="15"/>
      <c r="C15" s="14"/>
      <c r="D15" s="17"/>
      <c r="E15" s="17"/>
      <c r="F15" s="37">
        <v>45840</v>
      </c>
      <c r="G15" s="15">
        <f>13414.09+3862.79+28495.97</f>
        <v>45772.850000000006</v>
      </c>
      <c r="H15" s="15">
        <f t="shared" si="2"/>
        <v>67.149999999994179</v>
      </c>
      <c r="I15" s="17"/>
      <c r="J15" s="17"/>
      <c r="K15" s="17"/>
      <c r="L15" s="15"/>
      <c r="M15" s="15"/>
    </row>
    <row r="16" spans="1:17" s="19" customFormat="1" ht="10.5" customHeight="1" x14ac:dyDescent="0.2">
      <c r="A16" s="36" t="s">
        <v>33</v>
      </c>
      <c r="B16" s="15"/>
      <c r="C16" s="14"/>
      <c r="D16" s="17"/>
      <c r="E16" s="15"/>
      <c r="F16" s="37">
        <v>6900</v>
      </c>
      <c r="G16" s="15">
        <v>6627.96</v>
      </c>
      <c r="H16" s="15">
        <f t="shared" si="2"/>
        <v>272.03999999999996</v>
      </c>
      <c r="I16" s="15"/>
      <c r="J16" s="15"/>
      <c r="K16" s="15"/>
      <c r="L16" s="15">
        <v>3768</v>
      </c>
      <c r="M16" s="15">
        <v>4972</v>
      </c>
    </row>
    <row r="17" spans="1:13" s="19" customFormat="1" ht="10.5" customHeight="1" x14ac:dyDescent="0.2">
      <c r="A17" s="36" t="s">
        <v>34</v>
      </c>
      <c r="B17" s="15"/>
      <c r="C17" s="14"/>
      <c r="D17" s="17"/>
      <c r="E17" s="15"/>
      <c r="F17" s="37">
        <v>2092</v>
      </c>
      <c r="G17" s="15">
        <v>2092</v>
      </c>
      <c r="H17" s="15">
        <f t="shared" si="2"/>
        <v>0</v>
      </c>
      <c r="I17" s="15"/>
      <c r="J17" s="15"/>
      <c r="K17" s="15"/>
      <c r="L17" s="15"/>
      <c r="M17" s="15"/>
    </row>
    <row r="18" spans="1:13" s="19" customFormat="1" ht="10.5" customHeight="1" x14ac:dyDescent="0.2">
      <c r="A18" s="36" t="s">
        <v>35</v>
      </c>
      <c r="B18" s="15"/>
      <c r="C18" s="14"/>
      <c r="D18" s="17"/>
      <c r="E18" s="15"/>
      <c r="F18" s="37">
        <f>3950+1800</f>
        <v>5750</v>
      </c>
      <c r="G18" s="15">
        <f>1989.06+3667.38</f>
        <v>5656.4400000000005</v>
      </c>
      <c r="H18" s="15">
        <f t="shared" si="2"/>
        <v>93.559999999999491</v>
      </c>
      <c r="I18" s="15"/>
      <c r="J18" s="15"/>
      <c r="K18" s="15"/>
      <c r="L18" s="15"/>
      <c r="M18" s="15"/>
    </row>
    <row r="19" spans="1:13" s="19" customFormat="1" ht="10.5" customHeight="1" x14ac:dyDescent="0.2">
      <c r="A19" s="36" t="s">
        <v>36</v>
      </c>
      <c r="B19" s="15"/>
      <c r="C19" s="14"/>
      <c r="D19" s="17"/>
      <c r="E19" s="15"/>
      <c r="F19" s="37"/>
      <c r="G19" s="15"/>
      <c r="H19" s="15"/>
      <c r="I19" s="15"/>
      <c r="J19" s="15"/>
      <c r="K19" s="15"/>
      <c r="L19" s="15"/>
      <c r="M19" s="15">
        <v>6</v>
      </c>
    </row>
    <row r="20" spans="1:13" s="19" customFormat="1" ht="11.25" x14ac:dyDescent="0.2">
      <c r="A20" s="38" t="s">
        <v>37</v>
      </c>
      <c r="B20" s="17">
        <f>SUM(B21:B27)</f>
        <v>84515</v>
      </c>
      <c r="C20" s="21">
        <f>SUM(C21:C27)</f>
        <v>79829.13</v>
      </c>
      <c r="D20" s="17">
        <f>B20-C20</f>
        <v>4685.8699999999953</v>
      </c>
      <c r="E20" s="15"/>
      <c r="F20" s="37"/>
      <c r="G20" s="15"/>
      <c r="H20" s="15"/>
      <c r="I20" s="15"/>
      <c r="J20" s="15"/>
      <c r="K20" s="15"/>
      <c r="L20" s="15"/>
      <c r="M20" s="15"/>
    </row>
    <row r="21" spans="1:13" s="19" customFormat="1" ht="11.25" x14ac:dyDescent="0.2">
      <c r="A21" s="36" t="s">
        <v>38</v>
      </c>
      <c r="B21" s="15">
        <f>20000-555</f>
        <v>19445</v>
      </c>
      <c r="C21" s="14">
        <f>9987.27+8193.4+0.3</f>
        <v>18180.969999999998</v>
      </c>
      <c r="D21" s="17">
        <f>B21-C21</f>
        <v>1264.0300000000025</v>
      </c>
      <c r="E21" s="15"/>
      <c r="F21" s="37">
        <v>5000</v>
      </c>
      <c r="G21" s="17"/>
      <c r="H21" s="15">
        <f t="shared" si="2"/>
        <v>5000</v>
      </c>
      <c r="I21" s="15"/>
      <c r="J21" s="15"/>
      <c r="K21" s="15"/>
      <c r="L21" s="15"/>
      <c r="M21" s="15"/>
    </row>
    <row r="22" spans="1:13" s="19" customFormat="1" ht="11.25" x14ac:dyDescent="0.2">
      <c r="A22" s="36" t="s">
        <v>39</v>
      </c>
      <c r="B22" s="15">
        <f>21190-20000</f>
        <v>1190</v>
      </c>
      <c r="C22" s="14"/>
      <c r="D22" s="17">
        <f t="shared" ref="D22:D27" si="3">B22-C22</f>
        <v>1190</v>
      </c>
      <c r="E22" s="15"/>
      <c r="F22" s="37">
        <f>1836+561</f>
        <v>2397</v>
      </c>
      <c r="G22" s="17">
        <f>1836+561</f>
        <v>2397</v>
      </c>
      <c r="H22" s="15">
        <f t="shared" si="2"/>
        <v>0</v>
      </c>
      <c r="I22" s="15"/>
      <c r="J22" s="15"/>
      <c r="K22" s="15"/>
      <c r="L22" s="15"/>
      <c r="M22" s="15"/>
    </row>
    <row r="23" spans="1:13" s="19" customFormat="1" ht="11.25" x14ac:dyDescent="0.2">
      <c r="A23" s="36" t="s">
        <v>40</v>
      </c>
      <c r="B23" s="15">
        <f>12415+2103.84+555+15400+3510</f>
        <v>33983.839999999997</v>
      </c>
      <c r="C23" s="14">
        <v>33752</v>
      </c>
      <c r="D23" s="17">
        <f t="shared" si="3"/>
        <v>231.83999999999651</v>
      </c>
      <c r="E23" s="15"/>
      <c r="F23" s="37"/>
      <c r="G23" s="17"/>
      <c r="H23" s="15">
        <f t="shared" si="2"/>
        <v>0</v>
      </c>
      <c r="I23" s="15"/>
      <c r="J23" s="15"/>
      <c r="K23" s="15"/>
      <c r="L23" s="15"/>
      <c r="M23" s="15">
        <v>4216</v>
      </c>
    </row>
    <row r="24" spans="1:13" s="19" customFormat="1" ht="11.25" x14ac:dyDescent="0.2">
      <c r="A24" s="36" t="s">
        <v>41</v>
      </c>
      <c r="B24" s="15">
        <v>7782.22</v>
      </c>
      <c r="C24" s="14">
        <f>6609+1173.22</f>
        <v>7782.22</v>
      </c>
      <c r="D24" s="17">
        <f t="shared" si="3"/>
        <v>0</v>
      </c>
      <c r="E24" s="15"/>
      <c r="F24" s="37"/>
      <c r="G24" s="17"/>
      <c r="H24" s="15">
        <f t="shared" si="2"/>
        <v>0</v>
      </c>
      <c r="I24" s="15"/>
      <c r="J24" s="15"/>
      <c r="K24" s="15"/>
      <c r="L24" s="15"/>
      <c r="M24" s="15"/>
    </row>
    <row r="25" spans="1:13" s="19" customFormat="1" ht="11.25" x14ac:dyDescent="0.2">
      <c r="A25" s="36" t="s">
        <v>42</v>
      </c>
      <c r="B25" s="15">
        <v>9558.94</v>
      </c>
      <c r="C25" s="14">
        <f>3571.2+5987.74</f>
        <v>9558.9399999999987</v>
      </c>
      <c r="D25" s="17">
        <f t="shared" si="3"/>
        <v>0</v>
      </c>
      <c r="E25" s="15"/>
      <c r="F25" s="37"/>
      <c r="G25" s="17"/>
      <c r="H25" s="15">
        <f t="shared" si="2"/>
        <v>0</v>
      </c>
      <c r="I25" s="15"/>
      <c r="J25" s="15"/>
      <c r="K25" s="15"/>
      <c r="L25" s="15"/>
      <c r="M25" s="15"/>
    </row>
    <row r="26" spans="1:13" s="19" customFormat="1" ht="11.25" x14ac:dyDescent="0.2">
      <c r="A26" s="36" t="s">
        <v>43</v>
      </c>
      <c r="B26" s="15">
        <v>2555</v>
      </c>
      <c r="C26" s="14">
        <v>555</v>
      </c>
      <c r="D26" s="17">
        <f t="shared" si="3"/>
        <v>2000</v>
      </c>
      <c r="E26" s="15"/>
      <c r="F26" s="37"/>
      <c r="G26" s="17"/>
      <c r="H26" s="15">
        <f t="shared" si="2"/>
        <v>0</v>
      </c>
      <c r="I26" s="15"/>
      <c r="J26" s="15"/>
      <c r="K26" s="15"/>
      <c r="L26" s="15"/>
      <c r="M26" s="15"/>
    </row>
    <row r="27" spans="1:13" s="19" customFormat="1" ht="11.25" x14ac:dyDescent="0.2">
      <c r="A27" s="36" t="s">
        <v>44</v>
      </c>
      <c r="B27" s="15">
        <v>10000</v>
      </c>
      <c r="C27" s="14">
        <v>10000</v>
      </c>
      <c r="D27" s="17">
        <f t="shared" si="3"/>
        <v>0</v>
      </c>
      <c r="E27" s="15"/>
      <c r="F27" s="37"/>
      <c r="G27" s="17"/>
      <c r="H27" s="15">
        <f t="shared" si="2"/>
        <v>0</v>
      </c>
      <c r="I27" s="15"/>
      <c r="J27" s="15"/>
      <c r="K27" s="15"/>
      <c r="L27" s="15"/>
      <c r="M27" s="15"/>
    </row>
    <row r="28" spans="1:13" s="19" customFormat="1" ht="11.25" x14ac:dyDescent="0.2">
      <c r="A28" s="32" t="s">
        <v>45</v>
      </c>
      <c r="B28" s="17">
        <v>4297.8</v>
      </c>
      <c r="C28" s="21">
        <v>2076</v>
      </c>
      <c r="D28" s="17">
        <f>B28-C28</f>
        <v>2221.8000000000002</v>
      </c>
      <c r="E28" s="17"/>
      <c r="F28" s="17">
        <v>2130</v>
      </c>
      <c r="G28" s="17">
        <v>1264.33</v>
      </c>
      <c r="H28" s="17">
        <f t="shared" si="2"/>
        <v>865.67000000000007</v>
      </c>
      <c r="I28" s="15"/>
      <c r="J28" s="15"/>
      <c r="K28" s="15"/>
      <c r="L28" s="15"/>
      <c r="M28" s="15"/>
    </row>
    <row r="29" spans="1:13" s="19" customFormat="1" ht="11.25" x14ac:dyDescent="0.2">
      <c r="A29" s="32" t="s">
        <v>46</v>
      </c>
      <c r="B29" s="17">
        <v>524494</v>
      </c>
      <c r="C29" s="21">
        <v>508580</v>
      </c>
      <c r="D29" s="17">
        <f>B29-C29</f>
        <v>15914</v>
      </c>
      <c r="E29" s="15"/>
      <c r="F29" s="15"/>
      <c r="G29" s="15"/>
      <c r="H29" s="17">
        <f t="shared" si="2"/>
        <v>0</v>
      </c>
      <c r="I29" s="15"/>
      <c r="J29" s="15"/>
      <c r="K29" s="15"/>
      <c r="L29" s="15"/>
      <c r="M29" s="15"/>
    </row>
    <row r="30" spans="1:13" s="19" customFormat="1" ht="11.25" x14ac:dyDescent="0.2">
      <c r="A30" s="32" t="s">
        <v>47</v>
      </c>
      <c r="B30" s="17">
        <f>SUM(B31:B43)</f>
        <v>90085</v>
      </c>
      <c r="C30" s="17">
        <v>84933.11</v>
      </c>
      <c r="D30" s="17">
        <f>SUM(D31:D43)</f>
        <v>4468.7700000000004</v>
      </c>
      <c r="E30" s="17"/>
      <c r="F30" s="17">
        <f>SUM(F34:F43)</f>
        <v>10995</v>
      </c>
      <c r="G30" s="17">
        <f>SUM(G31:G43)</f>
        <v>14465.589</v>
      </c>
      <c r="H30" s="17">
        <f>SUM(H31:H43)</f>
        <v>5807.4110000000001</v>
      </c>
      <c r="I30" s="17">
        <f>SUM(I34:I43)</f>
        <v>0</v>
      </c>
      <c r="J30" s="17">
        <f>SUM(J34:J43)</f>
        <v>0</v>
      </c>
      <c r="K30" s="17">
        <f>SUM(K34:K43)</f>
        <v>0</v>
      </c>
      <c r="L30" s="39">
        <f>SUM(L34:L43)</f>
        <v>1698.82</v>
      </c>
      <c r="M30" s="17">
        <f>SUM(M34:M43)</f>
        <v>0</v>
      </c>
    </row>
    <row r="31" spans="1:13" s="19" customFormat="1" ht="11.25" x14ac:dyDescent="0.2">
      <c r="A31" s="36" t="s">
        <v>48</v>
      </c>
      <c r="B31" s="15">
        <v>47500</v>
      </c>
      <c r="C31" s="14">
        <v>47499.92</v>
      </c>
      <c r="D31" s="15">
        <f>B31-C31</f>
        <v>8.000000000174623E-2</v>
      </c>
      <c r="E31" s="17"/>
      <c r="F31" s="17"/>
      <c r="G31" s="17"/>
      <c r="H31" s="17">
        <f>F31-G31</f>
        <v>0</v>
      </c>
      <c r="I31" s="17"/>
      <c r="J31" s="17"/>
      <c r="K31" s="17"/>
      <c r="L31" s="39"/>
      <c r="M31" s="17"/>
    </row>
    <row r="32" spans="1:13" s="19" customFormat="1" ht="11.25" x14ac:dyDescent="0.2">
      <c r="A32" s="36" t="s">
        <v>49</v>
      </c>
      <c r="B32" s="15"/>
      <c r="C32" s="14"/>
      <c r="D32" s="15">
        <f t="shared" ref="D32:D54" si="4">B32-C32</f>
        <v>0</v>
      </c>
      <c r="E32" s="17"/>
      <c r="F32" s="40">
        <v>3200</v>
      </c>
      <c r="G32" s="40">
        <v>3200</v>
      </c>
      <c r="H32" s="17">
        <f>F32-G32</f>
        <v>0</v>
      </c>
      <c r="I32" s="17"/>
      <c r="J32" s="17"/>
      <c r="K32" s="17"/>
      <c r="L32" s="39"/>
      <c r="M32" s="17"/>
    </row>
    <row r="33" spans="1:13" s="19" customFormat="1" ht="11.25" x14ac:dyDescent="0.2">
      <c r="A33" s="36" t="s">
        <v>50</v>
      </c>
      <c r="B33" s="15">
        <v>11200</v>
      </c>
      <c r="C33" s="14">
        <v>11200</v>
      </c>
      <c r="D33" s="15">
        <f t="shared" si="4"/>
        <v>0</v>
      </c>
      <c r="E33" s="17"/>
      <c r="F33" s="40">
        <v>6078</v>
      </c>
      <c r="G33" s="40">
        <v>6077.7889999999998</v>
      </c>
      <c r="H33" s="17">
        <f>F33-G33</f>
        <v>0.21100000000024011</v>
      </c>
      <c r="I33" s="17"/>
      <c r="J33" s="17"/>
      <c r="K33" s="17"/>
      <c r="L33" s="39"/>
      <c r="M33" s="17"/>
    </row>
    <row r="34" spans="1:13" s="19" customFormat="1" ht="11.25" x14ac:dyDescent="0.2">
      <c r="A34" s="36" t="s">
        <v>51</v>
      </c>
      <c r="B34" s="15">
        <v>1135</v>
      </c>
      <c r="C34" s="14">
        <f>745.25+75.23</f>
        <v>820.48</v>
      </c>
      <c r="D34" s="15">
        <f t="shared" si="4"/>
        <v>314.52</v>
      </c>
      <c r="E34" s="15"/>
      <c r="F34" s="15">
        <v>1135</v>
      </c>
      <c r="G34" s="15">
        <f>594.71+1.82+75.29+0.37+0.37+75.24</f>
        <v>747.80000000000007</v>
      </c>
      <c r="H34" s="15">
        <f>F34-G34</f>
        <v>387.19999999999993</v>
      </c>
      <c r="I34" s="15"/>
      <c r="J34" s="15"/>
      <c r="K34" s="15"/>
      <c r="L34" s="15"/>
      <c r="M34" s="15"/>
    </row>
    <row r="35" spans="1:13" s="19" customFormat="1" ht="11.25" x14ac:dyDescent="0.2">
      <c r="A35" s="36" t="s">
        <v>52</v>
      </c>
      <c r="B35" s="15">
        <f>1800+611</f>
        <v>2411</v>
      </c>
      <c r="C35" s="14">
        <f>2169.54+241.06</f>
        <v>2410.6</v>
      </c>
      <c r="D35" s="15">
        <f t="shared" si="4"/>
        <v>0.40000000000009095</v>
      </c>
      <c r="E35" s="15"/>
      <c r="F35" s="15"/>
      <c r="G35" s="15"/>
      <c r="H35" s="15"/>
      <c r="I35" s="15"/>
      <c r="J35" s="15"/>
      <c r="K35" s="15"/>
      <c r="L35" s="15"/>
      <c r="M35" s="15"/>
    </row>
    <row r="36" spans="1:13" s="19" customFormat="1" ht="11.25" x14ac:dyDescent="0.2">
      <c r="A36" s="36" t="s">
        <v>53</v>
      </c>
      <c r="B36" s="15">
        <v>420</v>
      </c>
      <c r="C36" s="14">
        <f>350+35</f>
        <v>385</v>
      </c>
      <c r="D36" s="15">
        <f t="shared" si="4"/>
        <v>35</v>
      </c>
      <c r="E36" s="15"/>
      <c r="F36" s="15">
        <v>420</v>
      </c>
      <c r="G36" s="15">
        <f>280+35+35</f>
        <v>350</v>
      </c>
      <c r="H36" s="15">
        <f t="shared" ref="H36:H48" si="5">F36-G36</f>
        <v>70</v>
      </c>
      <c r="I36" s="15"/>
      <c r="J36" s="15"/>
      <c r="K36" s="15"/>
      <c r="L36" s="15"/>
      <c r="M36" s="15"/>
    </row>
    <row r="37" spans="1:13" s="19" customFormat="1" ht="11.25" x14ac:dyDescent="0.2">
      <c r="A37" s="36" t="s">
        <v>54</v>
      </c>
      <c r="B37" s="15"/>
      <c r="C37" s="14"/>
      <c r="D37" s="15">
        <f t="shared" si="4"/>
        <v>0</v>
      </c>
      <c r="E37" s="15"/>
      <c r="F37" s="15">
        <v>5780</v>
      </c>
      <c r="G37" s="15">
        <f>180+250</f>
        <v>430</v>
      </c>
      <c r="H37" s="15">
        <f t="shared" si="5"/>
        <v>5350</v>
      </c>
      <c r="I37" s="15"/>
      <c r="J37" s="15"/>
      <c r="K37" s="15"/>
      <c r="L37" s="15">
        <v>1698.82</v>
      </c>
      <c r="M37" s="15"/>
    </row>
    <row r="38" spans="1:13" s="19" customFormat="1" ht="11.25" x14ac:dyDescent="0.2">
      <c r="A38" s="36" t="s">
        <v>55</v>
      </c>
      <c r="B38" s="15">
        <v>4000</v>
      </c>
      <c r="C38" s="14">
        <v>1753.01</v>
      </c>
      <c r="D38" s="15">
        <f t="shared" si="4"/>
        <v>2246.9899999999998</v>
      </c>
      <c r="E38" s="15"/>
      <c r="F38" s="15"/>
      <c r="G38" s="15"/>
      <c r="H38" s="15"/>
      <c r="I38" s="15"/>
      <c r="J38" s="15"/>
      <c r="K38" s="15"/>
      <c r="L38" s="15"/>
      <c r="M38" s="15"/>
    </row>
    <row r="39" spans="1:13" s="19" customFormat="1" ht="11.25" x14ac:dyDescent="0.2">
      <c r="A39" s="36" t="s">
        <v>56</v>
      </c>
      <c r="B39" s="15">
        <v>7260</v>
      </c>
      <c r="C39" s="14">
        <f>5290.62+718+898</f>
        <v>6906.62</v>
      </c>
      <c r="D39" s="15">
        <f t="shared" si="4"/>
        <v>353.38000000000011</v>
      </c>
      <c r="E39" s="15"/>
      <c r="F39" s="15">
        <v>1620</v>
      </c>
      <c r="G39" s="15">
        <f>540+180+180+180+180+180+180</f>
        <v>1620</v>
      </c>
      <c r="H39" s="15">
        <f t="shared" si="5"/>
        <v>0</v>
      </c>
      <c r="I39" s="15"/>
      <c r="J39" s="15"/>
      <c r="K39" s="15"/>
      <c r="L39" s="15"/>
      <c r="M39" s="15"/>
    </row>
    <row r="40" spans="1:13" s="19" customFormat="1" ht="11.25" x14ac:dyDescent="0.2">
      <c r="A40" s="36" t="s">
        <v>57</v>
      </c>
      <c r="B40" s="15">
        <f>3000-905-611</f>
        <v>1484</v>
      </c>
      <c r="C40" s="14"/>
      <c r="D40" s="15">
        <f t="shared" si="4"/>
        <v>1484</v>
      </c>
      <c r="E40" s="15"/>
      <c r="F40" s="15">
        <v>2040</v>
      </c>
      <c r="G40" s="17">
        <f>1200+840</f>
        <v>2040</v>
      </c>
      <c r="H40" s="15">
        <f t="shared" si="5"/>
        <v>0</v>
      </c>
      <c r="I40" s="15"/>
      <c r="J40" s="15"/>
      <c r="K40" s="15"/>
      <c r="L40" s="15"/>
      <c r="M40" s="15"/>
    </row>
    <row r="41" spans="1:13" s="19" customFormat="1" ht="11.25" x14ac:dyDescent="0.2">
      <c r="A41" s="36" t="s">
        <v>58</v>
      </c>
      <c r="B41" s="15">
        <f>7320-1-16+2000</f>
        <v>9303</v>
      </c>
      <c r="C41" s="14">
        <f>2004+708+2556+4000</f>
        <v>9268</v>
      </c>
      <c r="D41" s="15">
        <f t="shared" si="4"/>
        <v>35</v>
      </c>
      <c r="E41" s="15"/>
      <c r="F41" s="15"/>
      <c r="G41" s="17"/>
      <c r="H41" s="15">
        <f t="shared" si="5"/>
        <v>0</v>
      </c>
      <c r="I41" s="15"/>
      <c r="J41" s="15"/>
      <c r="K41" s="15"/>
      <c r="L41" s="15"/>
      <c r="M41" s="15"/>
    </row>
    <row r="42" spans="1:13" s="19" customFormat="1" ht="11.25" x14ac:dyDescent="0.2">
      <c r="A42" s="36" t="s">
        <v>59</v>
      </c>
      <c r="B42" s="15">
        <f>3440+16</f>
        <v>3456</v>
      </c>
      <c r="C42" s="14">
        <f>2494.51+961.15</f>
        <v>3455.6600000000003</v>
      </c>
      <c r="D42" s="15">
        <f t="shared" si="4"/>
        <v>0.33999999999969077</v>
      </c>
      <c r="E42" s="15"/>
      <c r="F42" s="15"/>
      <c r="G42" s="17"/>
      <c r="H42" s="15">
        <f t="shared" si="5"/>
        <v>0</v>
      </c>
      <c r="I42" s="15"/>
      <c r="J42" s="15"/>
      <c r="K42" s="15"/>
      <c r="L42" s="15"/>
      <c r="M42" s="15"/>
    </row>
    <row r="43" spans="1:13" s="19" customFormat="1" ht="11.25" x14ac:dyDescent="0.2">
      <c r="A43" s="36" t="s">
        <v>60</v>
      </c>
      <c r="B43" s="15">
        <f>1450-440+1+905</f>
        <v>1916</v>
      </c>
      <c r="C43" s="14">
        <f>190+820.94+906</f>
        <v>1916.94</v>
      </c>
      <c r="D43" s="15">
        <f t="shared" si="4"/>
        <v>-0.94000000000005457</v>
      </c>
      <c r="E43" s="15"/>
      <c r="F43" s="15"/>
      <c r="G43" s="17"/>
      <c r="H43" s="15">
        <f t="shared" si="5"/>
        <v>0</v>
      </c>
      <c r="I43" s="15"/>
      <c r="J43" s="15"/>
      <c r="K43" s="15"/>
      <c r="L43" s="15"/>
      <c r="M43" s="15"/>
    </row>
    <row r="44" spans="1:13" s="19" customFormat="1" ht="11.25" x14ac:dyDescent="0.2">
      <c r="A44" s="32" t="s">
        <v>61</v>
      </c>
      <c r="B44" s="17">
        <v>0</v>
      </c>
      <c r="C44" s="21">
        <v>0</v>
      </c>
      <c r="D44" s="17">
        <f t="shared" si="4"/>
        <v>0</v>
      </c>
      <c r="E44" s="17"/>
      <c r="F44" s="17"/>
      <c r="G44" s="17"/>
      <c r="H44" s="15">
        <f t="shared" si="5"/>
        <v>0</v>
      </c>
      <c r="I44" s="15"/>
      <c r="J44" s="15"/>
      <c r="K44" s="15"/>
      <c r="L44" s="15"/>
      <c r="M44" s="15"/>
    </row>
    <row r="45" spans="1:13" s="19" customFormat="1" ht="11.25" x14ac:dyDescent="0.2">
      <c r="A45" s="32" t="s">
        <v>62</v>
      </c>
      <c r="B45" s="41">
        <v>577727</v>
      </c>
      <c r="C45" s="21">
        <v>487581.7</v>
      </c>
      <c r="D45" s="17">
        <f t="shared" si="4"/>
        <v>90145.299999999988</v>
      </c>
      <c r="E45" s="17"/>
      <c r="F45" s="17">
        <v>5847</v>
      </c>
      <c r="G45" s="17">
        <v>5847</v>
      </c>
      <c r="H45" s="17">
        <f t="shared" si="5"/>
        <v>0</v>
      </c>
      <c r="I45" s="15"/>
      <c r="J45" s="15"/>
      <c r="K45" s="15"/>
      <c r="L45" s="15"/>
      <c r="M45" s="15"/>
    </row>
    <row r="46" spans="1:13" s="19" customFormat="1" ht="11.25" x14ac:dyDescent="0.2">
      <c r="A46" s="32" t="s">
        <v>63</v>
      </c>
      <c r="B46" s="41">
        <v>36954</v>
      </c>
      <c r="C46" s="21">
        <v>23955.43</v>
      </c>
      <c r="D46" s="17">
        <f t="shared" si="4"/>
        <v>12998.57</v>
      </c>
      <c r="E46" s="17"/>
      <c r="F46" s="17">
        <v>3448</v>
      </c>
      <c r="G46" s="17">
        <v>2948</v>
      </c>
      <c r="H46" s="17">
        <f t="shared" si="5"/>
        <v>500</v>
      </c>
      <c r="I46" s="15"/>
      <c r="J46" s="15"/>
      <c r="K46" s="15"/>
      <c r="L46" s="15"/>
      <c r="M46" s="15"/>
    </row>
    <row r="47" spans="1:13" s="19" customFormat="1" ht="11.25" x14ac:dyDescent="0.2">
      <c r="A47" s="32" t="s">
        <v>64</v>
      </c>
      <c r="B47" s="41">
        <v>153589</v>
      </c>
      <c r="C47" s="21">
        <v>123774.18</v>
      </c>
      <c r="D47" s="17">
        <f t="shared" si="4"/>
        <v>29814.820000000007</v>
      </c>
      <c r="E47" s="17"/>
      <c r="F47" s="17">
        <v>21706</v>
      </c>
      <c r="G47" s="17">
        <v>21706</v>
      </c>
      <c r="H47" s="17">
        <f t="shared" si="5"/>
        <v>0</v>
      </c>
      <c r="I47" s="15"/>
      <c r="J47" s="15"/>
      <c r="K47" s="15"/>
      <c r="L47" s="15"/>
      <c r="M47" s="15"/>
    </row>
    <row r="48" spans="1:13" s="19" customFormat="1" ht="11.25" x14ac:dyDescent="0.2">
      <c r="A48" s="32" t="s">
        <v>65</v>
      </c>
      <c r="B48" s="41">
        <v>7630</v>
      </c>
      <c r="C48" s="21">
        <v>6024.86</v>
      </c>
      <c r="D48" s="17">
        <f t="shared" si="4"/>
        <v>1605.1400000000003</v>
      </c>
      <c r="E48" s="17"/>
      <c r="F48" s="17">
        <v>1000</v>
      </c>
      <c r="G48" s="17">
        <v>530.35</v>
      </c>
      <c r="H48" s="17">
        <f t="shared" si="5"/>
        <v>469.65</v>
      </c>
      <c r="I48" s="15"/>
      <c r="J48" s="15"/>
      <c r="K48" s="15"/>
      <c r="L48" s="15"/>
      <c r="M48" s="15"/>
    </row>
    <row r="49" spans="1:13" s="19" customFormat="1" ht="21" customHeight="1" x14ac:dyDescent="0.2">
      <c r="A49" s="42" t="s">
        <v>66</v>
      </c>
      <c r="B49" s="41">
        <f>1580-30</f>
        <v>1550</v>
      </c>
      <c r="C49" s="21">
        <v>500</v>
      </c>
      <c r="D49" s="17">
        <f t="shared" si="4"/>
        <v>1050</v>
      </c>
      <c r="E49" s="17"/>
      <c r="F49" s="17"/>
      <c r="G49" s="17"/>
      <c r="H49" s="17"/>
      <c r="I49" s="15"/>
      <c r="J49" s="15"/>
      <c r="K49" s="15"/>
      <c r="L49" s="15"/>
      <c r="M49" s="15"/>
    </row>
    <row r="50" spans="1:13" s="19" customFormat="1" ht="11.25" x14ac:dyDescent="0.2">
      <c r="A50" s="32" t="s">
        <v>67</v>
      </c>
      <c r="B50" s="41">
        <v>2500</v>
      </c>
      <c r="C50" s="21">
        <v>0</v>
      </c>
      <c r="D50" s="17">
        <f t="shared" si="4"/>
        <v>2500</v>
      </c>
      <c r="E50" s="17"/>
      <c r="F50" s="17"/>
      <c r="G50" s="17"/>
      <c r="H50" s="17"/>
      <c r="I50" s="15"/>
      <c r="J50" s="15"/>
      <c r="K50" s="15"/>
      <c r="L50" s="15"/>
      <c r="M50" s="15"/>
    </row>
    <row r="51" spans="1:13" s="19" customFormat="1" ht="11.25" x14ac:dyDescent="0.2">
      <c r="A51" s="32" t="s">
        <v>68</v>
      </c>
      <c r="B51" s="41"/>
      <c r="C51" s="21"/>
      <c r="D51" s="17">
        <f t="shared" si="4"/>
        <v>0</v>
      </c>
      <c r="E51" s="17"/>
      <c r="F51" s="17">
        <v>115</v>
      </c>
      <c r="G51" s="17"/>
      <c r="H51" s="17">
        <f>F51-G51</f>
        <v>115</v>
      </c>
      <c r="I51" s="15"/>
      <c r="J51" s="15"/>
      <c r="K51" s="15"/>
      <c r="L51" s="15"/>
      <c r="M51" s="15"/>
    </row>
    <row r="52" spans="1:13" s="46" customFormat="1" ht="11.25" x14ac:dyDescent="0.2">
      <c r="A52" s="43" t="s">
        <v>69</v>
      </c>
      <c r="B52" s="44">
        <f>SUM(A53:A53)</f>
        <v>0</v>
      </c>
      <c r="C52" s="45">
        <f>SUM(B53:B53)</f>
        <v>0</v>
      </c>
      <c r="D52" s="44">
        <f t="shared" si="4"/>
        <v>0</v>
      </c>
      <c r="E52" s="44"/>
      <c r="F52" s="44">
        <f>F53</f>
        <v>0</v>
      </c>
      <c r="G52" s="44">
        <f>G53</f>
        <v>0</v>
      </c>
      <c r="H52" s="44">
        <f>H53</f>
        <v>0</v>
      </c>
      <c r="I52" s="44">
        <f>I53</f>
        <v>9000</v>
      </c>
      <c r="J52" s="44">
        <f>J53</f>
        <v>7920</v>
      </c>
      <c r="K52" s="44">
        <f>I52-J52</f>
        <v>1080</v>
      </c>
      <c r="L52" s="44"/>
      <c r="M52" s="44">
        <f>SUM(L53:L53)</f>
        <v>0</v>
      </c>
    </row>
    <row r="53" spans="1:13" s="19" customFormat="1" ht="11.25" x14ac:dyDescent="0.2">
      <c r="A53" s="36" t="s">
        <v>70</v>
      </c>
      <c r="B53" s="17"/>
      <c r="C53" s="21"/>
      <c r="D53" s="17"/>
      <c r="E53" s="15"/>
      <c r="F53" s="15"/>
      <c r="G53" s="17"/>
      <c r="H53" s="15">
        <f>F53-G53</f>
        <v>0</v>
      </c>
      <c r="I53" s="15">
        <v>9000</v>
      </c>
      <c r="J53" s="15">
        <v>7920</v>
      </c>
      <c r="K53" s="15">
        <f>I53-J53</f>
        <v>1080</v>
      </c>
      <c r="L53" s="15"/>
      <c r="M53" s="15"/>
    </row>
    <row r="54" spans="1:13" s="19" customFormat="1" ht="11.25" x14ac:dyDescent="0.2">
      <c r="A54" s="32" t="s">
        <v>71</v>
      </c>
      <c r="B54" s="15"/>
      <c r="C54" s="14"/>
      <c r="D54" s="17">
        <f t="shared" si="4"/>
        <v>0</v>
      </c>
      <c r="E54" s="15">
        <v>0</v>
      </c>
      <c r="F54" s="15">
        <v>0</v>
      </c>
      <c r="G54" s="15">
        <v>0</v>
      </c>
      <c r="H54" s="15">
        <f>F54-G54</f>
        <v>0</v>
      </c>
      <c r="I54" s="15">
        <v>0</v>
      </c>
      <c r="J54" s="15">
        <v>0</v>
      </c>
      <c r="K54" s="15">
        <f>I54-J54</f>
        <v>0</v>
      </c>
      <c r="L54" s="15"/>
      <c r="M54" s="15"/>
    </row>
    <row r="55" spans="1:13" s="31" customFormat="1" ht="8.25" customHeight="1" x14ac:dyDescent="0.2">
      <c r="C55" s="47"/>
    </row>
    <row r="56" spans="1:13" ht="37.5" customHeight="1" x14ac:dyDescent="0.2">
      <c r="A56" s="52" t="s">
        <v>72</v>
      </c>
      <c r="B56" s="52"/>
      <c r="C56" s="52"/>
      <c r="D56" s="52"/>
      <c r="E56" s="52"/>
      <c r="F56" s="52"/>
      <c r="G56" s="52"/>
      <c r="H56" s="52"/>
    </row>
  </sheetData>
  <sheetProtection selectLockedCells="1" selectUnlockedCells="1"/>
  <mergeCells count="7">
    <mergeCell ref="L2:M2"/>
    <mergeCell ref="L3:M3"/>
    <mergeCell ref="A56:H56"/>
    <mergeCell ref="A1:K1"/>
    <mergeCell ref="B2:D2"/>
    <mergeCell ref="E2:H2"/>
    <mergeCell ref="I2:K2"/>
  </mergeCells>
  <pageMargins left="0.47395833333333331" right="0.1701388888888889" top="0.16041666666666668" bottom="0.48854166666666665" header="0.51180555555555551" footer="0.51180555555555551"/>
  <pageSetup paperSize="9" scale="70" firstPageNumber="0" orientation="landscape" horizontalDpi="300" verticalDpi="300" r:id="rId1"/>
  <headerFooter alignWithMargins="0"/>
  <rowBreaks count="1" manualBreakCount="1">
    <brk id="5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49</vt:lpstr>
      <vt:lpstr>'49'!Область_печати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Admin</cp:lastModifiedBy>
  <dcterms:created xsi:type="dcterms:W3CDTF">2019-12-24T06:50:21Z</dcterms:created>
  <dcterms:modified xsi:type="dcterms:W3CDTF">2019-12-26T07:56:27Z</dcterms:modified>
</cp:coreProperties>
</file>