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49" sheetId="1" r:id="rId1"/>
  </sheets>
  <definedNames>
    <definedName name="_xlnm.Print_Area" localSheetId="0">'49'!$A$1:$M$66</definedName>
  </definedNames>
  <calcPr calcId="145621"/>
</workbook>
</file>

<file path=xl/calcChain.xml><?xml version="1.0" encoding="utf-8"?>
<calcChain xmlns="http://schemas.openxmlformats.org/spreadsheetml/2006/main">
  <c r="K63" i="1" l="1"/>
  <c r="H63" i="1"/>
  <c r="D63" i="1"/>
  <c r="K62" i="1"/>
  <c r="H62" i="1"/>
  <c r="H61" i="1"/>
  <c r="M60" i="1"/>
  <c r="L60" i="1"/>
  <c r="K60" i="1"/>
  <c r="J60" i="1"/>
  <c r="I60" i="1"/>
  <c r="H60" i="1"/>
  <c r="G60" i="1"/>
  <c r="F60" i="1"/>
  <c r="E60" i="1"/>
  <c r="D60" i="1"/>
  <c r="C60" i="1"/>
  <c r="B60" i="1"/>
  <c r="H59" i="1"/>
  <c r="D59" i="1"/>
  <c r="D58" i="1"/>
  <c r="H57" i="1"/>
  <c r="D57" i="1"/>
  <c r="H56" i="1"/>
  <c r="D56" i="1"/>
  <c r="H55" i="1"/>
  <c r="D55" i="1"/>
  <c r="H54" i="1"/>
  <c r="D54" i="1"/>
  <c r="H53" i="1"/>
  <c r="D53" i="1"/>
  <c r="H52" i="1"/>
  <c r="D52" i="1"/>
  <c r="H51" i="1"/>
  <c r="D51" i="1"/>
  <c r="C51" i="1"/>
  <c r="H50" i="1"/>
  <c r="D50" i="1"/>
  <c r="H49" i="1"/>
  <c r="H48" i="1"/>
  <c r="C48" i="1"/>
  <c r="B48" i="1"/>
  <c r="D48" i="1" s="1"/>
  <c r="H47" i="1"/>
  <c r="D47" i="1"/>
  <c r="C47" i="1"/>
  <c r="H46" i="1"/>
  <c r="G46" i="1"/>
  <c r="C46" i="1"/>
  <c r="B46" i="1"/>
  <c r="D45" i="1"/>
  <c r="D44" i="1"/>
  <c r="H43" i="1"/>
  <c r="C43" i="1"/>
  <c r="B43" i="1"/>
  <c r="H42" i="1"/>
  <c r="D42" i="1"/>
  <c r="H41" i="1"/>
  <c r="D41" i="1"/>
  <c r="G40" i="1"/>
  <c r="H40" i="1" s="1"/>
  <c r="D40" i="1"/>
  <c r="H39" i="1"/>
  <c r="F39" i="1"/>
  <c r="D39" i="1"/>
  <c r="B39" i="1"/>
  <c r="H38" i="1"/>
  <c r="G38" i="1"/>
  <c r="D38" i="1"/>
  <c r="G37" i="1"/>
  <c r="G36" i="1" s="1"/>
  <c r="F37" i="1"/>
  <c r="H37" i="1" s="1"/>
  <c r="H36" i="1" s="1"/>
  <c r="D37" i="1"/>
  <c r="M36" i="1"/>
  <c r="L36" i="1"/>
  <c r="K36" i="1"/>
  <c r="J36" i="1"/>
  <c r="I36" i="1"/>
  <c r="F36" i="1"/>
  <c r="C36" i="1"/>
  <c r="B36" i="1"/>
  <c r="H35" i="1"/>
  <c r="D35" i="1"/>
  <c r="G34" i="1"/>
  <c r="F34" i="1"/>
  <c r="H34" i="1" s="1"/>
  <c r="C34" i="1"/>
  <c r="B34" i="1"/>
  <c r="D34" i="1" s="1"/>
  <c r="B33" i="1"/>
  <c r="D33" i="1" s="1"/>
  <c r="G32" i="1"/>
  <c r="H32" i="1" s="1"/>
  <c r="D32" i="1"/>
  <c r="G31" i="1"/>
  <c r="H31" i="1" s="1"/>
  <c r="B31" i="1"/>
  <c r="D31" i="1" s="1"/>
  <c r="H30" i="1"/>
  <c r="B30" i="1"/>
  <c r="D30" i="1" s="1"/>
  <c r="G29" i="1"/>
  <c r="H29" i="1" s="1"/>
  <c r="D29" i="1"/>
  <c r="G28" i="1"/>
  <c r="H28" i="1" s="1"/>
  <c r="C28" i="1"/>
  <c r="D28" i="1" s="1"/>
  <c r="G27" i="1"/>
  <c r="H27" i="1" s="1"/>
  <c r="C27" i="1"/>
  <c r="B27" i="1"/>
  <c r="D27" i="1" s="1"/>
  <c r="G26" i="1"/>
  <c r="H26" i="1" s="1"/>
  <c r="C26" i="1"/>
  <c r="D26" i="1" s="1"/>
  <c r="G25" i="1"/>
  <c r="H25" i="1" s="1"/>
  <c r="C25" i="1"/>
  <c r="B25" i="1"/>
  <c r="D25" i="1" s="1"/>
  <c r="H24" i="1"/>
  <c r="B24" i="1"/>
  <c r="H23" i="1"/>
  <c r="H22" i="1"/>
  <c r="G21" i="1"/>
  <c r="H21" i="1" s="1"/>
  <c r="H20" i="1"/>
  <c r="H19" i="1"/>
  <c r="G18" i="1"/>
  <c r="H18" i="1" s="1"/>
  <c r="G17" i="1"/>
  <c r="H17" i="1" s="1"/>
  <c r="G16" i="1"/>
  <c r="F16" i="1"/>
  <c r="H15" i="1"/>
  <c r="G14" i="1"/>
  <c r="F14" i="1"/>
  <c r="H14" i="1" s="1"/>
  <c r="H13" i="1"/>
  <c r="G12" i="1"/>
  <c r="H12" i="1" s="1"/>
  <c r="M11" i="1"/>
  <c r="L11" i="1"/>
  <c r="L8" i="1" s="1"/>
  <c r="K11" i="1"/>
  <c r="J11" i="1"/>
  <c r="J8" i="1" s="1"/>
  <c r="I11" i="1"/>
  <c r="F11" i="1"/>
  <c r="F8" i="1" s="1"/>
  <c r="H10" i="1"/>
  <c r="D10" i="1"/>
  <c r="H9" i="1"/>
  <c r="D9" i="1"/>
  <c r="M8" i="1"/>
  <c r="M6" i="1" s="1"/>
  <c r="K8" i="1"/>
  <c r="I8" i="1"/>
  <c r="D43" i="1" l="1"/>
  <c r="H16" i="1"/>
  <c r="C24" i="1"/>
  <c r="C11" i="1" s="1"/>
  <c r="C8" i="1" s="1"/>
  <c r="D46" i="1"/>
  <c r="D36" i="1" s="1"/>
  <c r="H11" i="1"/>
  <c r="H8" i="1" s="1"/>
  <c r="B11" i="1"/>
  <c r="G11" i="1"/>
  <c r="G8" i="1" s="1"/>
  <c r="H5" i="1" s="1"/>
  <c r="D24" i="1" l="1"/>
  <c r="B8" i="1"/>
  <c r="D11" i="1"/>
  <c r="D8" i="1" s="1"/>
</calcChain>
</file>

<file path=xl/sharedStrings.xml><?xml version="1.0" encoding="utf-8"?>
<sst xmlns="http://schemas.openxmlformats.org/spreadsheetml/2006/main" count="88" uniqueCount="81">
  <si>
    <t>Інформація по використанню бюджетних та спеціальних коштів по ДНЗ № 49 станом на 26.12.2020 р.</t>
  </si>
  <si>
    <t>Бюджет</t>
  </si>
  <si>
    <t>Кошти спеціального фонду</t>
  </si>
  <si>
    <t>Бюджет розвитку</t>
  </si>
  <si>
    <t>інші надходження</t>
  </si>
  <si>
    <t>Затвердж.</t>
  </si>
  <si>
    <t>Касові видатки</t>
  </si>
  <si>
    <t xml:space="preserve">Залишок </t>
  </si>
  <si>
    <t>надійшло за</t>
  </si>
  <si>
    <t>Касові вид.</t>
  </si>
  <si>
    <t>Затверджено</t>
  </si>
  <si>
    <t xml:space="preserve">Залиш. </t>
  </si>
  <si>
    <t>благод.,спонсорські</t>
  </si>
  <si>
    <t>кошторис.</t>
  </si>
  <si>
    <t>за 12 міс.</t>
  </si>
  <si>
    <t>коштів</t>
  </si>
  <si>
    <t>освіт.посл.</t>
  </si>
  <si>
    <t>кошторисом</t>
  </si>
  <si>
    <t>за  12  міс.</t>
  </si>
  <si>
    <t>грошові</t>
  </si>
  <si>
    <t>негрошові</t>
  </si>
  <si>
    <t xml:space="preserve">залишок </t>
  </si>
  <si>
    <t xml:space="preserve">надійшло </t>
  </si>
  <si>
    <t>погодинна оренда</t>
  </si>
  <si>
    <t>Разом:</t>
  </si>
  <si>
    <t>2110 "Заробітна плата"</t>
  </si>
  <si>
    <t>2120"Нарахування на заробітну плату</t>
  </si>
  <si>
    <t>2210"Предмети,матеріали,облад.та ін." -122500</t>
  </si>
  <si>
    <t>госптовари, інвентар</t>
  </si>
  <si>
    <t>сіль проти льоду</t>
  </si>
  <si>
    <t>канцтовари бланки</t>
  </si>
  <si>
    <t>ролети,  жалюзі</t>
  </si>
  <si>
    <t>сантехніка</t>
  </si>
  <si>
    <t>шпалери</t>
  </si>
  <si>
    <t>будівельні  матеріали(фарба)</t>
  </si>
  <si>
    <t>к-т пластикових контейнерів</t>
  </si>
  <si>
    <t>контейнер для батарейок</t>
  </si>
  <si>
    <t>пилосос,холод.,праски, мотокоса</t>
  </si>
  <si>
    <t>підписка</t>
  </si>
  <si>
    <t>спец. одяг по ХАССПО</t>
  </si>
  <si>
    <t xml:space="preserve">  - 350гривень на 1 дитину :</t>
  </si>
  <si>
    <t>миючі  та дезинфікуючі  засоби</t>
  </si>
  <si>
    <t>губки, драйки,пакети д/сміття</t>
  </si>
  <si>
    <t>серветки, туалетний  папір, паперові рушники</t>
  </si>
  <si>
    <t>АХД,маски,рукавички,бахіли,,термометр</t>
  </si>
  <si>
    <t>конфорки,електр.лампи,клєми</t>
  </si>
  <si>
    <t>шафи дит.3-х,5-ти-двер.</t>
  </si>
  <si>
    <t>лінолеум,  плінтуса</t>
  </si>
  <si>
    <t>посуд на кухню по ХАСПО</t>
  </si>
  <si>
    <t>вішачки д/рушників</t>
  </si>
  <si>
    <t>2220"Медикаменти та перев.матер".</t>
  </si>
  <si>
    <t>2230 "Продукти харчування"</t>
  </si>
  <si>
    <t>2240 "Оплата послуг крім комунальних"-50697</t>
  </si>
  <si>
    <t>експрес-доставка,інше-пеня</t>
  </si>
  <si>
    <t>ремонт  каналізац. Мереж</t>
  </si>
  <si>
    <t xml:space="preserve"> поточний  ремонт  покрівлі</t>
  </si>
  <si>
    <t>рем-т комп. Техн.,заправка катрідж.</t>
  </si>
  <si>
    <t>послуги зв"язку, ККЄ</t>
  </si>
  <si>
    <t>інтернет</t>
  </si>
  <si>
    <t>дератизація</t>
  </si>
  <si>
    <t xml:space="preserve"> послуги з дезактивації</t>
  </si>
  <si>
    <t>надання послуг відпов до санітарного регламенту</t>
  </si>
  <si>
    <t>цілодоб.спостереж.та обслуг.пожеж.сигн-ції</t>
  </si>
  <si>
    <t>ремонт  облад., чистка  бойлерів</t>
  </si>
  <si>
    <t>медичний огляд</t>
  </si>
  <si>
    <t>навчальний  семінар</t>
  </si>
  <si>
    <t>повірка лічильника,ваг, гир</t>
  </si>
  <si>
    <t>вим. опору,ізоляції,заземл.,запр.вогн.,перев.пож.рукавів</t>
  </si>
  <si>
    <t>2250 "Видатки на відрядження"</t>
  </si>
  <si>
    <t>2271 "Оплата теплопостачання"</t>
  </si>
  <si>
    <t>2272 "Оплата водопостачання та водов".</t>
  </si>
  <si>
    <t>2273 "Оплата електроенергії"</t>
  </si>
  <si>
    <t>2275  "Оплата ін. комун. Послуг"</t>
  </si>
  <si>
    <t>2282 "Окремі заходи по реалізації державних (регіональних) програм, не віднесені до заходів розвитку</t>
  </si>
  <si>
    <t>2730 "Інші виплати населенню"</t>
  </si>
  <si>
    <t>2800 "Інші поточні видатки"</t>
  </si>
  <si>
    <t>3110 "Придб. облад і пре.дов.корис."</t>
  </si>
  <si>
    <t>картоплечистка</t>
  </si>
  <si>
    <t>музичний  центр</t>
  </si>
  <si>
    <t>3132 "Капітальний ремонт інших об"єктів"</t>
  </si>
  <si>
    <t xml:space="preserve">                                      Головний бухгалтер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</si>
</sst>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.5"/>
      <name val="Arial Cyr"/>
      <charset val="204"/>
    </font>
    <font>
      <b/>
      <sz val="8.5"/>
      <name val="Arial Cyr"/>
      <charset val="204"/>
    </font>
    <font>
      <sz val="8.5"/>
      <name val="Arial Cyr"/>
      <family val="2"/>
      <charset val="204"/>
    </font>
    <font>
      <sz val="8"/>
      <name val="Arial Cyr"/>
      <family val="2"/>
      <charset val="204"/>
    </font>
    <font>
      <b/>
      <sz val="8.5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8"/>
      <name val="Arial Cyr"/>
      <charset val="204"/>
    </font>
    <font>
      <i/>
      <sz val="8.5"/>
      <name val="Arial Cyr"/>
      <charset val="204"/>
    </font>
    <font>
      <i/>
      <sz val="8.5"/>
      <name val="Arial Cyr"/>
      <family val="2"/>
      <charset val="204"/>
    </font>
    <font>
      <b/>
      <i/>
      <sz val="8.5"/>
      <name val="Arial Cyr"/>
      <family val="2"/>
      <charset val="204"/>
    </font>
    <font>
      <sz val="8.5"/>
      <color theme="1"/>
      <name val="Arial Cyr"/>
      <family val="2"/>
      <charset val="204"/>
    </font>
    <font>
      <sz val="8.5"/>
      <color rgb="FFFF0000"/>
      <name val="Arial Cyr"/>
      <family val="2"/>
      <charset val="204"/>
    </font>
    <font>
      <b/>
      <sz val="7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7" xfId="0" applyFont="1" applyBorder="1"/>
    <xf numFmtId="2" fontId="4" fillId="0" borderId="2" xfId="0" applyNumberFormat="1" applyFont="1" applyBorder="1"/>
    <xf numFmtId="2" fontId="4" fillId="0" borderId="5" xfId="0" applyNumberFormat="1" applyFont="1" applyFill="1" applyBorder="1"/>
    <xf numFmtId="2" fontId="4" fillId="0" borderId="5" xfId="0" applyNumberFormat="1" applyFont="1" applyBorder="1"/>
    <xf numFmtId="2" fontId="6" fillId="2" borderId="5" xfId="0" applyNumberFormat="1" applyFont="1" applyFill="1" applyBorder="1"/>
    <xf numFmtId="2" fontId="6" fillId="0" borderId="5" xfId="0" applyNumberFormat="1" applyFont="1" applyBorder="1"/>
    <xf numFmtId="2" fontId="4" fillId="0" borderId="1" xfId="0" applyNumberFormat="1" applyFont="1" applyBorder="1"/>
    <xf numFmtId="0" fontId="4" fillId="0" borderId="0" xfId="0" applyFont="1"/>
    <xf numFmtId="2" fontId="6" fillId="0" borderId="2" xfId="0" applyNumberFormat="1" applyFont="1" applyBorder="1"/>
    <xf numFmtId="2" fontId="6" fillId="0" borderId="5" xfId="0" applyNumberFormat="1" applyFont="1" applyFill="1" applyBorder="1"/>
    <xf numFmtId="2" fontId="6" fillId="0" borderId="3" xfId="0" applyNumberFormat="1" applyFont="1" applyBorder="1"/>
    <xf numFmtId="2" fontId="6" fillId="0" borderId="8" xfId="0" applyNumberFormat="1" applyFont="1" applyBorder="1"/>
    <xf numFmtId="2" fontId="4" fillId="0" borderId="3" xfId="0" applyNumberFormat="1" applyFont="1" applyBorder="1"/>
    <xf numFmtId="2" fontId="4" fillId="0" borderId="8" xfId="0" applyNumberFormat="1" applyFont="1" applyBorder="1"/>
    <xf numFmtId="0" fontId="7" fillId="0" borderId="7" xfId="0" applyFont="1" applyBorder="1"/>
    <xf numFmtId="2" fontId="7" fillId="0" borderId="5" xfId="0" applyNumberFormat="1" applyFont="1" applyBorder="1"/>
    <xf numFmtId="2" fontId="7" fillId="0" borderId="5" xfId="0" applyNumberFormat="1" applyFont="1" applyFill="1" applyBorder="1"/>
    <xf numFmtId="2" fontId="7" fillId="0" borderId="3" xfId="0" applyNumberFormat="1" applyFont="1" applyBorder="1"/>
    <xf numFmtId="2" fontId="7" fillId="0" borderId="8" xfId="0" applyNumberFormat="1" applyFont="1" applyBorder="1"/>
    <xf numFmtId="0" fontId="7" fillId="0" borderId="0" xfId="0" applyFont="1" applyBorder="1"/>
    <xf numFmtId="0" fontId="8" fillId="0" borderId="0" xfId="0" applyFont="1"/>
    <xf numFmtId="0" fontId="6" fillId="0" borderId="5" xfId="0" applyFont="1" applyBorder="1"/>
    <xf numFmtId="2" fontId="6" fillId="4" borderId="5" xfId="0" applyNumberFormat="1" applyFont="1" applyFill="1" applyBorder="1"/>
    <xf numFmtId="2" fontId="6" fillId="0" borderId="7" xfId="0" applyNumberFormat="1" applyFont="1" applyBorder="1"/>
    <xf numFmtId="0" fontId="6" fillId="0" borderId="0" xfId="0" applyFont="1"/>
    <xf numFmtId="0" fontId="4" fillId="0" borderId="5" xfId="0" applyFont="1" applyBorder="1"/>
    <xf numFmtId="2" fontId="4" fillId="5" borderId="5" xfId="0" applyNumberFormat="1" applyFont="1" applyFill="1" applyBorder="1"/>
    <xf numFmtId="2" fontId="2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2" fontId="2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right"/>
    </xf>
    <xf numFmtId="0" fontId="11" fillId="0" borderId="5" xfId="0" applyFont="1" applyBorder="1"/>
    <xf numFmtId="0" fontId="12" fillId="0" borderId="5" xfId="0" applyFont="1" applyBorder="1"/>
    <xf numFmtId="2" fontId="6" fillId="0" borderId="5" xfId="0" applyNumberFormat="1" applyFont="1" applyBorder="1" applyAlignment="1">
      <alignment horizontal="left" indent="1"/>
    </xf>
    <xf numFmtId="2" fontId="13" fillId="0" borderId="5" xfId="0" applyNumberFormat="1" applyFont="1" applyFill="1" applyBorder="1"/>
    <xf numFmtId="2" fontId="2" fillId="0" borderId="5" xfId="0" applyNumberFormat="1" applyFont="1" applyFill="1" applyBorder="1"/>
    <xf numFmtId="2" fontId="14" fillId="0" borderId="5" xfId="0" applyNumberFormat="1" applyFont="1" applyBorder="1"/>
    <xf numFmtId="0" fontId="14" fillId="0" borderId="0" xfId="0" applyFont="1"/>
    <xf numFmtId="2" fontId="6" fillId="5" borderId="5" xfId="0" applyNumberFormat="1" applyFont="1" applyFill="1" applyBorder="1"/>
    <xf numFmtId="0" fontId="15" fillId="0" borderId="5" xfId="0" applyFont="1" applyBorder="1" applyAlignment="1">
      <alignment wrapText="1"/>
    </xf>
    <xf numFmtId="0" fontId="3" fillId="0" borderId="5" xfId="0" applyFont="1" applyBorder="1"/>
    <xf numFmtId="2" fontId="3" fillId="0" borderId="5" xfId="0" applyNumberFormat="1" applyFont="1" applyBorder="1"/>
    <xf numFmtId="0" fontId="3" fillId="0" borderId="0" xfId="0" applyFont="1"/>
    <xf numFmtId="0" fontId="2" fillId="0" borderId="5" xfId="0" applyFont="1" applyBorder="1"/>
    <xf numFmtId="2" fontId="3" fillId="0" borderId="5" xfId="0" applyNumberFormat="1" applyFont="1" applyFill="1" applyBorder="1"/>
    <xf numFmtId="0" fontId="8" fillId="0" borderId="0" xfId="0" applyFont="1" applyFill="1"/>
    <xf numFmtId="0" fontId="0" fillId="0" borderId="0" xfId="0" applyFill="1"/>
    <xf numFmtId="0" fontId="3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4" fillId="4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1628775</xdr:colOff>
      <xdr:row>5</xdr:row>
      <xdr:rowOff>28575</xdr:rowOff>
    </xdr:from>
    <xdr:to>
      <xdr:col>0</xdr:col>
      <xdr:colOff>1704975</xdr:colOff>
      <xdr:row>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28775" y="85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abSelected="1" showWhiteSpace="0" view="pageLayout" topLeftCell="A37" zoomScaleNormal="100" workbookViewId="0">
      <selection activeCell="H66" sqref="H66"/>
    </sheetView>
  </sheetViews>
  <sheetFormatPr defaultRowHeight="12.75" x14ac:dyDescent="0.2"/>
  <cols>
    <col min="1" max="1" width="37.7109375" customWidth="1"/>
    <col min="2" max="2" width="11.42578125" customWidth="1"/>
    <col min="3" max="3" width="12.28515625" style="63" customWidth="1"/>
    <col min="4" max="4" width="12" customWidth="1"/>
    <col min="5" max="5" width="9.7109375" customWidth="1"/>
    <col min="6" max="6" width="10.140625" customWidth="1"/>
    <col min="7" max="7" width="10.28515625" customWidth="1"/>
    <col min="8" max="9" width="10.5703125" customWidth="1"/>
    <col min="10" max="10" width="10.7109375" customWidth="1"/>
    <col min="11" max="11" width="7.7109375" customWidth="1"/>
    <col min="12" max="12" width="10.28515625" customWidth="1"/>
    <col min="13" max="13" width="12.5703125" customWidth="1"/>
  </cols>
  <sheetData>
    <row r="1" spans="1:17" s="1" customFormat="1" ht="18.75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7" s="3" customFormat="1" ht="12.75" customHeight="1" x14ac:dyDescent="0.2">
      <c r="A2" s="2"/>
      <c r="B2" s="69" t="s">
        <v>1</v>
      </c>
      <c r="C2" s="69"/>
      <c r="D2" s="69"/>
      <c r="E2" s="70" t="s">
        <v>2</v>
      </c>
      <c r="F2" s="71"/>
      <c r="G2" s="71"/>
      <c r="H2" s="72"/>
      <c r="I2" s="73" t="s">
        <v>3</v>
      </c>
      <c r="J2" s="73"/>
      <c r="K2" s="73"/>
      <c r="L2" s="64" t="s">
        <v>4</v>
      </c>
      <c r="M2" s="64"/>
    </row>
    <row r="3" spans="1:17" s="9" customFormat="1" ht="11.25" x14ac:dyDescent="0.2">
      <c r="A3" s="4"/>
      <c r="B3" s="5" t="s">
        <v>5</v>
      </c>
      <c r="C3" s="6" t="s">
        <v>6</v>
      </c>
      <c r="D3" s="7" t="s">
        <v>7</v>
      </c>
      <c r="E3" s="7" t="s">
        <v>8</v>
      </c>
      <c r="F3" s="7" t="s">
        <v>5</v>
      </c>
      <c r="G3" s="7" t="s">
        <v>9</v>
      </c>
      <c r="H3" s="7" t="s">
        <v>7</v>
      </c>
      <c r="I3" s="7" t="s">
        <v>10</v>
      </c>
      <c r="J3" s="8" t="s">
        <v>6</v>
      </c>
      <c r="K3" s="7" t="s">
        <v>11</v>
      </c>
      <c r="L3" s="65" t="s">
        <v>12</v>
      </c>
      <c r="M3" s="66"/>
    </row>
    <row r="4" spans="1:17" s="9" customFormat="1" ht="11.25" x14ac:dyDescent="0.2">
      <c r="A4" s="10"/>
      <c r="B4" s="5" t="s">
        <v>13</v>
      </c>
      <c r="C4" s="6" t="s">
        <v>14</v>
      </c>
      <c r="D4" s="7" t="s">
        <v>15</v>
      </c>
      <c r="E4" s="7" t="s">
        <v>16</v>
      </c>
      <c r="F4" s="7" t="s">
        <v>13</v>
      </c>
      <c r="G4" s="7" t="s">
        <v>14</v>
      </c>
      <c r="H4" s="7" t="s">
        <v>15</v>
      </c>
      <c r="I4" s="7" t="s">
        <v>17</v>
      </c>
      <c r="J4" s="7" t="s">
        <v>18</v>
      </c>
      <c r="K4" s="7" t="s">
        <v>15</v>
      </c>
      <c r="L4" s="11" t="s">
        <v>19</v>
      </c>
      <c r="M4" s="11" t="s">
        <v>20</v>
      </c>
    </row>
    <row r="5" spans="1:17" s="19" customFormat="1" ht="11.25" x14ac:dyDescent="0.2">
      <c r="A5" s="12" t="s">
        <v>21</v>
      </c>
      <c r="B5" s="13"/>
      <c r="C5" s="14"/>
      <c r="D5" s="15"/>
      <c r="E5" s="16">
        <v>19628</v>
      </c>
      <c r="F5" s="17"/>
      <c r="G5" s="17"/>
      <c r="H5" s="17">
        <f>E5+E6+E7-G8</f>
        <v>64365.669999999984</v>
      </c>
      <c r="I5" s="15"/>
      <c r="J5" s="15"/>
      <c r="K5" s="15"/>
      <c r="L5" s="17">
        <v>385.16</v>
      </c>
      <c r="M5" s="18"/>
    </row>
    <row r="6" spans="1:17" s="19" customFormat="1" ht="11.25" x14ac:dyDescent="0.2">
      <c r="A6" s="12" t="s">
        <v>22</v>
      </c>
      <c r="B6" s="20"/>
      <c r="C6" s="21"/>
      <c r="D6" s="17"/>
      <c r="E6" s="17">
        <v>375213</v>
      </c>
      <c r="F6" s="17"/>
      <c r="G6" s="17"/>
      <c r="H6" s="17"/>
      <c r="I6" s="17"/>
      <c r="J6" s="17"/>
      <c r="K6" s="17"/>
      <c r="L6" s="22">
        <v>1897.3</v>
      </c>
      <c r="M6" s="23">
        <f>M8</f>
        <v>10916</v>
      </c>
    </row>
    <row r="7" spans="1:17" s="19" customFormat="1" ht="11.25" x14ac:dyDescent="0.2">
      <c r="A7" s="12" t="s">
        <v>23</v>
      </c>
      <c r="B7" s="20"/>
      <c r="C7" s="21"/>
      <c r="D7" s="17"/>
      <c r="E7" s="17">
        <v>190.96</v>
      </c>
      <c r="F7" s="17"/>
      <c r="G7" s="17"/>
      <c r="H7" s="17"/>
      <c r="I7" s="17"/>
      <c r="J7" s="17"/>
      <c r="K7" s="17"/>
      <c r="L7" s="24"/>
      <c r="M7" s="25"/>
    </row>
    <row r="8" spans="1:17" s="32" customFormat="1" ht="12" x14ac:dyDescent="0.2">
      <c r="A8" s="26" t="s">
        <v>24</v>
      </c>
      <c r="B8" s="27">
        <f>B9+B10+B11+B34+B35+B36+B52+B53+B54+B55+B56+B57+B58</f>
        <v>7896373.459999999</v>
      </c>
      <c r="C8" s="28">
        <f>C9+C10+C11+C34+C35+C36+C52+C53+C54+C55+C56+C57+C58</f>
        <v>7796489.0099999998</v>
      </c>
      <c r="D8" s="27">
        <f>D9+D10+D11+D34+D35+D36+D52+D53+D54+D55+D56+D57+D58</f>
        <v>99884.45000000007</v>
      </c>
      <c r="E8" s="27"/>
      <c r="F8" s="27">
        <f>F9+F10+F11+F34+F35+F52+F53+F54+F55+F57+F59+F62+F36</f>
        <v>692920.05999999994</v>
      </c>
      <c r="G8" s="27">
        <f>G9+G10+G11+G34+G35+G52+G53+G54+G55+G57+G59+G36+G56+G60+G63</f>
        <v>330666.29000000004</v>
      </c>
      <c r="H8" s="27">
        <f t="shared" ref="H8:M8" si="0">H9+H10+H11+H34+H35+H52+H53+H54+H55+H57+H59+H62+H36</f>
        <v>362253.76999999996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9">
        <f t="shared" si="0"/>
        <v>1798.98</v>
      </c>
      <c r="M8" s="30">
        <f t="shared" si="0"/>
        <v>10916</v>
      </c>
      <c r="N8" s="31"/>
      <c r="O8" s="31"/>
      <c r="P8" s="31"/>
      <c r="Q8" s="31"/>
    </row>
    <row r="9" spans="1:17" s="36" customFormat="1" ht="11.25" x14ac:dyDescent="0.2">
      <c r="A9" s="33" t="s">
        <v>25</v>
      </c>
      <c r="B9" s="17">
        <v>5635110.1299999999</v>
      </c>
      <c r="C9" s="21">
        <v>5635110.1299999999</v>
      </c>
      <c r="D9" s="17">
        <f>B9-C9</f>
        <v>0</v>
      </c>
      <c r="E9" s="17"/>
      <c r="F9" s="34">
        <v>423410</v>
      </c>
      <c r="G9" s="34">
        <v>162856.48000000001</v>
      </c>
      <c r="H9" s="34">
        <f>F9-G9</f>
        <v>260553.52</v>
      </c>
      <c r="I9" s="17"/>
      <c r="J9" s="17"/>
      <c r="K9" s="17"/>
      <c r="L9" s="17"/>
      <c r="M9" s="35"/>
    </row>
    <row r="10" spans="1:17" s="36" customFormat="1" ht="11.25" x14ac:dyDescent="0.2">
      <c r="A10" s="33" t="s">
        <v>26</v>
      </c>
      <c r="B10" s="17">
        <v>1231573.3600000001</v>
      </c>
      <c r="C10" s="21">
        <v>1227912.01</v>
      </c>
      <c r="D10" s="17">
        <f>B10-C10</f>
        <v>3661.3500000000931</v>
      </c>
      <c r="E10" s="17"/>
      <c r="F10" s="34">
        <v>93150</v>
      </c>
      <c r="G10" s="34">
        <v>36816.980000000003</v>
      </c>
      <c r="H10" s="34">
        <f>F10-G10</f>
        <v>56333.02</v>
      </c>
      <c r="I10" s="17"/>
      <c r="J10" s="17"/>
      <c r="K10" s="17"/>
      <c r="L10" s="17"/>
      <c r="M10" s="17"/>
    </row>
    <row r="11" spans="1:17" s="19" customFormat="1" ht="11.25" x14ac:dyDescent="0.2">
      <c r="A11" s="33" t="s">
        <v>27</v>
      </c>
      <c r="B11" s="17">
        <f>SUM(B12:B24)</f>
        <v>122500</v>
      </c>
      <c r="C11" s="17">
        <f>SUM(C12:C24)</f>
        <v>122499.99999999999</v>
      </c>
      <c r="D11" s="17">
        <f>B11-C11</f>
        <v>0</v>
      </c>
      <c r="E11" s="17">
        <v>130190</v>
      </c>
      <c r="F11" s="17">
        <f t="shared" ref="F11:M11" si="1">SUM(F12:F33)</f>
        <v>82757.2</v>
      </c>
      <c r="G11" s="17">
        <f t="shared" si="1"/>
        <v>67293.759999999995</v>
      </c>
      <c r="H11" s="17">
        <f t="shared" si="1"/>
        <v>15463.44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1798.98</v>
      </c>
      <c r="M11" s="17">
        <f t="shared" si="1"/>
        <v>10916</v>
      </c>
    </row>
    <row r="12" spans="1:17" s="19" customFormat="1" ht="10.5" customHeight="1" x14ac:dyDescent="0.2">
      <c r="A12" s="37" t="s">
        <v>28</v>
      </c>
      <c r="B12" s="15"/>
      <c r="C12" s="14"/>
      <c r="D12" s="17"/>
      <c r="E12" s="17"/>
      <c r="F12" s="38">
        <v>2000</v>
      </c>
      <c r="G12" s="15">
        <f>435+189.36+327</f>
        <v>951.36</v>
      </c>
      <c r="H12" s="15">
        <f t="shared" ref="H12:H35" si="2">F12-G12</f>
        <v>1048.6399999999999</v>
      </c>
      <c r="I12" s="17"/>
      <c r="J12" s="17"/>
      <c r="K12" s="17"/>
      <c r="L12" s="15"/>
      <c r="M12" s="17">
        <v>1496</v>
      </c>
    </row>
    <row r="13" spans="1:17" s="19" customFormat="1" ht="10.5" customHeight="1" x14ac:dyDescent="0.2">
      <c r="A13" s="37" t="s">
        <v>29</v>
      </c>
      <c r="B13" s="15"/>
      <c r="C13" s="14"/>
      <c r="D13" s="17"/>
      <c r="E13" s="17"/>
      <c r="F13" s="38">
        <v>1400</v>
      </c>
      <c r="G13" s="15">
        <v>1399.2</v>
      </c>
      <c r="H13" s="15">
        <f t="shared" si="2"/>
        <v>0.79999999999995453</v>
      </c>
      <c r="I13" s="17"/>
      <c r="J13" s="17"/>
      <c r="K13" s="17"/>
      <c r="L13" s="15"/>
      <c r="M13" s="17"/>
    </row>
    <row r="14" spans="1:17" s="19" customFormat="1" ht="10.5" customHeight="1" x14ac:dyDescent="0.2">
      <c r="A14" s="37" t="s">
        <v>30</v>
      </c>
      <c r="B14" s="15"/>
      <c r="C14" s="14"/>
      <c r="D14" s="17"/>
      <c r="E14" s="17"/>
      <c r="F14" s="38">
        <f>6750-1400</f>
        <v>5350</v>
      </c>
      <c r="G14" s="39">
        <f>1179+1437.35+436.29+163.37</f>
        <v>3216.0099999999998</v>
      </c>
      <c r="H14" s="15">
        <f t="shared" si="2"/>
        <v>2133.9900000000002</v>
      </c>
      <c r="I14" s="17"/>
      <c r="J14" s="17"/>
      <c r="K14" s="17"/>
      <c r="L14" s="15"/>
      <c r="M14" s="17"/>
    </row>
    <row r="15" spans="1:17" s="19" customFormat="1" ht="10.5" customHeight="1" x14ac:dyDescent="0.2">
      <c r="A15" s="37" t="s">
        <v>31</v>
      </c>
      <c r="B15" s="15"/>
      <c r="C15" s="14"/>
      <c r="D15" s="17"/>
      <c r="E15" s="17"/>
      <c r="F15" s="38">
        <v>0</v>
      </c>
      <c r="G15" s="17"/>
      <c r="H15" s="15">
        <f t="shared" si="2"/>
        <v>0</v>
      </c>
      <c r="I15" s="17"/>
      <c r="J15" s="17"/>
      <c r="K15" s="17"/>
      <c r="L15" s="15"/>
      <c r="M15" s="15">
        <v>9420</v>
      </c>
    </row>
    <row r="16" spans="1:17" s="19" customFormat="1" ht="10.5" customHeight="1" x14ac:dyDescent="0.2">
      <c r="A16" s="37" t="s">
        <v>32</v>
      </c>
      <c r="B16" s="15"/>
      <c r="C16" s="14"/>
      <c r="D16" s="17"/>
      <c r="E16" s="17"/>
      <c r="F16" s="38">
        <f>7100+4800</f>
        <v>11900</v>
      </c>
      <c r="G16" s="39">
        <f>6829.38+4941.58</f>
        <v>11770.96</v>
      </c>
      <c r="H16" s="15">
        <f t="shared" si="2"/>
        <v>129.04000000000087</v>
      </c>
      <c r="I16" s="17"/>
      <c r="J16" s="17"/>
      <c r="K16" s="17"/>
      <c r="L16" s="15"/>
      <c r="M16" s="15"/>
    </row>
    <row r="17" spans="1:13" s="19" customFormat="1" ht="10.5" customHeight="1" x14ac:dyDescent="0.2">
      <c r="A17" s="37" t="s">
        <v>33</v>
      </c>
      <c r="B17" s="15"/>
      <c r="C17" s="14"/>
      <c r="D17" s="17"/>
      <c r="E17" s="17"/>
      <c r="F17" s="38">
        <v>5900</v>
      </c>
      <c r="G17" s="39">
        <f>5595+283.5</f>
        <v>5878.5</v>
      </c>
      <c r="H17" s="15">
        <f t="shared" si="2"/>
        <v>21.5</v>
      </c>
      <c r="I17" s="17"/>
      <c r="J17" s="17"/>
      <c r="K17" s="17"/>
      <c r="L17" s="15"/>
      <c r="M17" s="15"/>
    </row>
    <row r="18" spans="1:13" s="19" customFormat="1" ht="10.5" customHeight="1" x14ac:dyDescent="0.2">
      <c r="A18" s="37" t="s">
        <v>34</v>
      </c>
      <c r="B18" s="15"/>
      <c r="C18" s="14"/>
      <c r="D18" s="17"/>
      <c r="E18" s="17"/>
      <c r="F18" s="38">
        <v>5200</v>
      </c>
      <c r="G18" s="15">
        <f>616.64+4096.8+207+112.2</f>
        <v>5032.6400000000003</v>
      </c>
      <c r="H18" s="15">
        <f t="shared" si="2"/>
        <v>167.35999999999967</v>
      </c>
      <c r="I18" s="17"/>
      <c r="J18" s="17"/>
      <c r="K18" s="17"/>
      <c r="L18" s="15"/>
      <c r="M18" s="15"/>
    </row>
    <row r="19" spans="1:13" s="19" customFormat="1" ht="10.5" customHeight="1" x14ac:dyDescent="0.2">
      <c r="A19" s="40" t="s">
        <v>35</v>
      </c>
      <c r="B19" s="15"/>
      <c r="C19" s="14"/>
      <c r="D19" s="17"/>
      <c r="E19" s="15"/>
      <c r="F19" s="38">
        <v>1067</v>
      </c>
      <c r="G19" s="15">
        <v>1067</v>
      </c>
      <c r="H19" s="15">
        <f t="shared" si="2"/>
        <v>0</v>
      </c>
      <c r="I19" s="15"/>
      <c r="J19" s="15"/>
      <c r="K19" s="15"/>
      <c r="L19" s="15"/>
      <c r="M19" s="15"/>
    </row>
    <row r="20" spans="1:13" s="19" customFormat="1" ht="10.5" customHeight="1" x14ac:dyDescent="0.2">
      <c r="A20" s="41" t="s">
        <v>36</v>
      </c>
      <c r="B20" s="42"/>
      <c r="C20" s="43"/>
      <c r="D20" s="44"/>
      <c r="E20" s="45"/>
      <c r="F20" s="46">
        <v>712</v>
      </c>
      <c r="G20" s="47">
        <v>712</v>
      </c>
      <c r="H20" s="39">
        <f t="shared" si="2"/>
        <v>0</v>
      </c>
      <c r="I20" s="15"/>
      <c r="J20" s="15"/>
      <c r="K20" s="15"/>
      <c r="L20" s="15"/>
      <c r="M20" s="15"/>
    </row>
    <row r="21" spans="1:13" s="19" customFormat="1" ht="10.5" customHeight="1" x14ac:dyDescent="0.2">
      <c r="A21" s="37" t="s">
        <v>37</v>
      </c>
      <c r="B21" s="15"/>
      <c r="C21" s="14"/>
      <c r="D21" s="17"/>
      <c r="E21" s="15"/>
      <c r="F21" s="38">
        <v>2298</v>
      </c>
      <c r="G21" s="15">
        <f>2297.88</f>
        <v>2297.88</v>
      </c>
      <c r="H21" s="15">
        <f t="shared" si="2"/>
        <v>0.11999999999989086</v>
      </c>
      <c r="I21" s="15"/>
      <c r="J21" s="15"/>
      <c r="K21" s="15"/>
      <c r="L21" s="15">
        <v>1798.98</v>
      </c>
      <c r="M21" s="15"/>
    </row>
    <row r="22" spans="1:13" s="19" customFormat="1" ht="10.5" customHeight="1" x14ac:dyDescent="0.2">
      <c r="A22" s="37" t="s">
        <v>38</v>
      </c>
      <c r="B22" s="15"/>
      <c r="C22" s="14"/>
      <c r="D22" s="17"/>
      <c r="E22" s="15"/>
      <c r="F22" s="38">
        <v>3600</v>
      </c>
      <c r="G22" s="15"/>
      <c r="H22" s="15">
        <f t="shared" si="2"/>
        <v>3600</v>
      </c>
      <c r="I22" s="15"/>
      <c r="J22" s="15"/>
      <c r="K22" s="15"/>
      <c r="L22" s="15"/>
      <c r="M22" s="15"/>
    </row>
    <row r="23" spans="1:13" s="19" customFormat="1" ht="10.5" customHeight="1" x14ac:dyDescent="0.2">
      <c r="A23" s="48" t="s">
        <v>39</v>
      </c>
      <c r="B23" s="15"/>
      <c r="C23" s="14"/>
      <c r="D23" s="17"/>
      <c r="E23" s="15"/>
      <c r="F23" s="38">
        <v>6000</v>
      </c>
      <c r="G23" s="15">
        <v>1560</v>
      </c>
      <c r="H23" s="15">
        <f t="shared" si="2"/>
        <v>4440</v>
      </c>
      <c r="I23" s="15"/>
      <c r="J23" s="15"/>
      <c r="K23" s="15"/>
      <c r="L23" s="15"/>
      <c r="M23" s="15"/>
    </row>
    <row r="24" spans="1:13" s="19" customFormat="1" ht="11.25" x14ac:dyDescent="0.2">
      <c r="A24" s="49" t="s">
        <v>40</v>
      </c>
      <c r="B24" s="17">
        <f>SUM(B25:B33)</f>
        <v>122500</v>
      </c>
      <c r="C24" s="21">
        <f>SUM(C25:C33)</f>
        <v>122499.99999999999</v>
      </c>
      <c r="D24" s="17">
        <f t="shared" ref="D24:D35" si="3">B24-C24</f>
        <v>0</v>
      </c>
      <c r="E24" s="15"/>
      <c r="F24" s="38"/>
      <c r="G24" s="15"/>
      <c r="H24" s="15">
        <f t="shared" si="2"/>
        <v>0</v>
      </c>
      <c r="I24" s="15"/>
      <c r="J24" s="15"/>
      <c r="K24" s="15"/>
      <c r="L24" s="15"/>
      <c r="M24" s="15"/>
    </row>
    <row r="25" spans="1:13" s="19" customFormat="1" ht="11.25" x14ac:dyDescent="0.2">
      <c r="A25" s="37" t="s">
        <v>41</v>
      </c>
      <c r="B25" s="15">
        <f>17427.74+290+304.14+841.97</f>
        <v>18863.850000000002</v>
      </c>
      <c r="C25" s="14">
        <f>14802.33+652.5+1972.91+290+841.97+304.14</f>
        <v>18863.850000000002</v>
      </c>
      <c r="D25" s="21">
        <f t="shared" si="3"/>
        <v>0</v>
      </c>
      <c r="E25" s="15"/>
      <c r="F25" s="38">
        <v>4500</v>
      </c>
      <c r="G25" s="39">
        <f>183.15+810.6+537.43+686.7+107.25</f>
        <v>2325.13</v>
      </c>
      <c r="H25" s="15">
        <f t="shared" si="2"/>
        <v>2174.87</v>
      </c>
      <c r="I25" s="15"/>
      <c r="J25" s="15"/>
      <c r="K25" s="15"/>
      <c r="L25" s="15"/>
      <c r="M25" s="15"/>
    </row>
    <row r="26" spans="1:13" s="19" customFormat="1" ht="11.25" x14ac:dyDescent="0.2">
      <c r="A26" s="41" t="s">
        <v>42</v>
      </c>
      <c r="B26" s="15">
        <v>751.6</v>
      </c>
      <c r="C26" s="14">
        <f>270.75+480.85</f>
        <v>751.6</v>
      </c>
      <c r="D26" s="17">
        <f t="shared" si="3"/>
        <v>0</v>
      </c>
      <c r="E26" s="15"/>
      <c r="F26" s="38">
        <v>2000</v>
      </c>
      <c r="G26" s="39">
        <f>279.1</f>
        <v>279.10000000000002</v>
      </c>
      <c r="H26" s="15">
        <f t="shared" si="2"/>
        <v>1720.9</v>
      </c>
      <c r="I26" s="15"/>
      <c r="J26" s="15"/>
      <c r="K26" s="15"/>
      <c r="L26" s="15"/>
      <c r="M26" s="15"/>
    </row>
    <row r="27" spans="1:13" s="19" customFormat="1" ht="11.25" x14ac:dyDescent="0.2">
      <c r="A27" s="41" t="s">
        <v>43</v>
      </c>
      <c r="B27" s="15">
        <f>9044.25+2776.61-1972.91+2.52+0.39+629.5-290-304.14-841.97</f>
        <v>9044.2500000000018</v>
      </c>
      <c r="C27" s="14">
        <f>189.81+3399.3+677.16+4777.98</f>
        <v>9044.25</v>
      </c>
      <c r="D27" s="17">
        <f t="shared" si="3"/>
        <v>0</v>
      </c>
      <c r="E27" s="15"/>
      <c r="F27" s="38">
        <v>2902.2</v>
      </c>
      <c r="G27" s="39">
        <f>1635+1267.2</f>
        <v>2902.2</v>
      </c>
      <c r="H27" s="15">
        <f t="shared" si="2"/>
        <v>0</v>
      </c>
      <c r="I27" s="15"/>
      <c r="J27" s="15"/>
      <c r="K27" s="15"/>
      <c r="L27" s="15"/>
      <c r="M27" s="15"/>
    </row>
    <row r="28" spans="1:13" s="19" customFormat="1" ht="11.25" x14ac:dyDescent="0.2">
      <c r="A28" s="41" t="s">
        <v>44</v>
      </c>
      <c r="B28" s="15">
        <v>17926</v>
      </c>
      <c r="C28" s="14">
        <f>2960+891+120+1950+6160+45+940+2760+2100</f>
        <v>17926</v>
      </c>
      <c r="D28" s="17">
        <f t="shared" si="3"/>
        <v>0</v>
      </c>
      <c r="E28" s="15"/>
      <c r="F28" s="38">
        <v>1000</v>
      </c>
      <c r="G28" s="39">
        <f>501.6+473.7</f>
        <v>975.3</v>
      </c>
      <c r="H28" s="15">
        <f t="shared" si="2"/>
        <v>24.700000000000045</v>
      </c>
      <c r="I28" s="15"/>
      <c r="J28" s="15"/>
      <c r="K28" s="15"/>
      <c r="L28" s="15"/>
      <c r="M28" s="15"/>
    </row>
    <row r="29" spans="1:13" s="19" customFormat="1" ht="11.25" x14ac:dyDescent="0.2">
      <c r="A29" s="41" t="s">
        <v>45</v>
      </c>
      <c r="B29" s="15">
        <v>8322.43</v>
      </c>
      <c r="C29" s="14">
        <v>8322.43</v>
      </c>
      <c r="D29" s="17">
        <f t="shared" si="3"/>
        <v>0</v>
      </c>
      <c r="E29" s="15"/>
      <c r="F29" s="38">
        <v>25335</v>
      </c>
      <c r="G29" s="15">
        <f>8400+8542.25+8392.03</f>
        <v>25334.28</v>
      </c>
      <c r="H29" s="15">
        <f t="shared" si="2"/>
        <v>0.72000000000116415</v>
      </c>
      <c r="I29" s="15"/>
      <c r="J29" s="15"/>
      <c r="K29" s="15"/>
      <c r="L29" s="15"/>
      <c r="M29" s="15"/>
    </row>
    <row r="30" spans="1:13" s="19" customFormat="1" ht="11.25" x14ac:dyDescent="0.2">
      <c r="A30" s="41" t="s">
        <v>46</v>
      </c>
      <c r="B30" s="14">
        <f>54938-13307-2776.61</f>
        <v>38854.39</v>
      </c>
      <c r="C30" s="14">
        <v>38854.39</v>
      </c>
      <c r="D30" s="17">
        <f t="shared" si="3"/>
        <v>0</v>
      </c>
      <c r="E30" s="15"/>
      <c r="F30" s="38"/>
      <c r="G30" s="17"/>
      <c r="H30" s="15">
        <f t="shared" si="2"/>
        <v>0</v>
      </c>
      <c r="I30" s="15"/>
      <c r="J30" s="15"/>
      <c r="K30" s="15"/>
      <c r="L30" s="15"/>
      <c r="M30" s="15"/>
    </row>
    <row r="31" spans="1:13" s="19" customFormat="1" ht="11.25" x14ac:dyDescent="0.2">
      <c r="A31" s="37" t="s">
        <v>47</v>
      </c>
      <c r="B31" s="14">
        <f>12250+350</f>
        <v>12600</v>
      </c>
      <c r="C31" s="14">
        <v>12600</v>
      </c>
      <c r="D31" s="17">
        <f t="shared" si="3"/>
        <v>0</v>
      </c>
      <c r="E31" s="15"/>
      <c r="F31" s="14">
        <v>1240</v>
      </c>
      <c r="G31" s="39">
        <f>1240</f>
        <v>1240</v>
      </c>
      <c r="H31" s="15">
        <f t="shared" si="2"/>
        <v>0</v>
      </c>
      <c r="I31" s="15"/>
      <c r="J31" s="15"/>
      <c r="K31" s="15"/>
      <c r="L31" s="15"/>
      <c r="M31" s="15"/>
    </row>
    <row r="32" spans="1:13" s="19" customFormat="1" ht="11.25" x14ac:dyDescent="0.2">
      <c r="A32" s="48" t="s">
        <v>48</v>
      </c>
      <c r="B32" s="14">
        <v>11097.48</v>
      </c>
      <c r="C32" s="14">
        <v>11097.48</v>
      </c>
      <c r="D32" s="17">
        <f t="shared" si="3"/>
        <v>0</v>
      </c>
      <c r="E32" s="15"/>
      <c r="F32" s="38">
        <v>353</v>
      </c>
      <c r="G32" s="39">
        <f>352.2</f>
        <v>352.2</v>
      </c>
      <c r="H32" s="15">
        <f t="shared" si="2"/>
        <v>0.80000000000001137</v>
      </c>
      <c r="I32" s="15"/>
      <c r="J32" s="15"/>
      <c r="K32" s="15"/>
      <c r="L32" s="15"/>
      <c r="M32" s="15"/>
    </row>
    <row r="33" spans="1:13" s="19" customFormat="1" ht="11.25" x14ac:dyDescent="0.2">
      <c r="A33" s="41" t="s">
        <v>49</v>
      </c>
      <c r="B33" s="14">
        <f>5060-20</f>
        <v>5040</v>
      </c>
      <c r="C33" s="14">
        <v>5040</v>
      </c>
      <c r="D33" s="17">
        <f t="shared" si="3"/>
        <v>0</v>
      </c>
      <c r="E33" s="15"/>
      <c r="F33" s="38"/>
      <c r="G33" s="17"/>
      <c r="H33" s="15"/>
      <c r="I33" s="15"/>
      <c r="J33" s="15"/>
      <c r="K33" s="15"/>
      <c r="L33" s="15"/>
      <c r="M33" s="15"/>
    </row>
    <row r="34" spans="1:13" s="19" customFormat="1" ht="11.25" x14ac:dyDescent="0.2">
      <c r="A34" s="33" t="s">
        <v>50</v>
      </c>
      <c r="B34" s="17">
        <f>3500+9941</f>
        <v>13441</v>
      </c>
      <c r="C34" s="21">
        <f>9941+3500</f>
        <v>13441</v>
      </c>
      <c r="D34" s="21">
        <f t="shared" si="3"/>
        <v>0</v>
      </c>
      <c r="E34" s="17"/>
      <c r="F34" s="17">
        <f>3000-1287</f>
        <v>1713</v>
      </c>
      <c r="G34" s="17">
        <f>155.87+225.62+362.72</f>
        <v>744.21</v>
      </c>
      <c r="H34" s="17">
        <f t="shared" si="2"/>
        <v>968.79</v>
      </c>
      <c r="I34" s="15"/>
      <c r="J34" s="15"/>
      <c r="K34" s="15"/>
      <c r="L34" s="15"/>
      <c r="M34" s="15"/>
    </row>
    <row r="35" spans="1:13" s="19" customFormat="1" ht="11.25" x14ac:dyDescent="0.2">
      <c r="A35" s="33" t="s">
        <v>51</v>
      </c>
      <c r="B35" s="17">
        <v>367920.1</v>
      </c>
      <c r="C35" s="21">
        <v>301906</v>
      </c>
      <c r="D35" s="17">
        <f t="shared" si="3"/>
        <v>66014.099999999977</v>
      </c>
      <c r="E35" s="15"/>
      <c r="F35" s="15"/>
      <c r="G35" s="15"/>
      <c r="H35" s="17">
        <f t="shared" si="2"/>
        <v>0</v>
      </c>
      <c r="I35" s="15"/>
      <c r="J35" s="15"/>
      <c r="K35" s="15"/>
      <c r="L35" s="15"/>
      <c r="M35" s="15"/>
    </row>
    <row r="36" spans="1:13" s="19" customFormat="1" ht="11.25" x14ac:dyDescent="0.2">
      <c r="A36" s="33" t="s">
        <v>52</v>
      </c>
      <c r="B36" s="17">
        <f>SUM(B37:B51)</f>
        <v>53961.64</v>
      </c>
      <c r="C36" s="17">
        <f>SUM(C37:C51)</f>
        <v>37354.980000000003</v>
      </c>
      <c r="D36" s="17">
        <f>SUM(D37:D51)</f>
        <v>16606.659999999996</v>
      </c>
      <c r="E36" s="17"/>
      <c r="F36" s="17">
        <f>SUM(F37:F51)</f>
        <v>63729.86</v>
      </c>
      <c r="G36" s="17">
        <f>SUM(G37:G51)</f>
        <v>44495.01</v>
      </c>
      <c r="H36" s="17">
        <f>SUM(H37:H51)</f>
        <v>19234.849999999999</v>
      </c>
      <c r="I36" s="17">
        <f>SUM(I41:I51)</f>
        <v>0</v>
      </c>
      <c r="J36" s="17">
        <f>SUM(J41:J51)</f>
        <v>0</v>
      </c>
      <c r="K36" s="17">
        <f>SUM(K41:K51)</f>
        <v>0</v>
      </c>
      <c r="L36" s="50">
        <f>SUM(L41:L51)</f>
        <v>0</v>
      </c>
      <c r="M36" s="17">
        <f>SUM(M41:M51)</f>
        <v>0</v>
      </c>
    </row>
    <row r="37" spans="1:13" s="19" customFormat="1" ht="11.25" x14ac:dyDescent="0.2">
      <c r="A37" s="37" t="s">
        <v>53</v>
      </c>
      <c r="B37" s="15"/>
      <c r="C37" s="51"/>
      <c r="D37" s="15">
        <f t="shared" ref="D37:D63" si="4">B37-C37</f>
        <v>0</v>
      </c>
      <c r="E37" s="17"/>
      <c r="F37" s="39">
        <f>213.4+2.26</f>
        <v>215.66</v>
      </c>
      <c r="G37" s="39">
        <f>3.4+210+2.26</f>
        <v>215.66</v>
      </c>
      <c r="H37" s="39">
        <f>F37-G37</f>
        <v>0</v>
      </c>
      <c r="I37" s="17"/>
      <c r="J37" s="17"/>
      <c r="K37" s="17"/>
      <c r="L37" s="50"/>
      <c r="M37" s="17"/>
    </row>
    <row r="38" spans="1:13" s="19" customFormat="1" ht="11.25" x14ac:dyDescent="0.2">
      <c r="A38" s="41" t="s">
        <v>54</v>
      </c>
      <c r="B38" s="15"/>
      <c r="C38" s="51"/>
      <c r="D38" s="14">
        <f t="shared" si="4"/>
        <v>0</v>
      </c>
      <c r="E38" s="17"/>
      <c r="F38" s="39">
        <v>37302.43</v>
      </c>
      <c r="G38" s="39">
        <f>13972.13+23330.3</f>
        <v>37302.43</v>
      </c>
      <c r="H38" s="39">
        <f>F38-G38</f>
        <v>0</v>
      </c>
      <c r="I38" s="17"/>
      <c r="J38" s="17"/>
      <c r="K38" s="17"/>
      <c r="L38" s="50"/>
      <c r="M38" s="17"/>
    </row>
    <row r="39" spans="1:13" s="19" customFormat="1" ht="11.25" x14ac:dyDescent="0.2">
      <c r="A39" s="41" t="s">
        <v>55</v>
      </c>
      <c r="B39" s="15">
        <f>9398+2289.9+1661.79+623.31</f>
        <v>13972.999999999998</v>
      </c>
      <c r="C39" s="51"/>
      <c r="D39" s="14">
        <f t="shared" si="4"/>
        <v>13972.999999999998</v>
      </c>
      <c r="E39" s="17"/>
      <c r="F39" s="39">
        <f>1871.26+17363.59</f>
        <v>19234.849999999999</v>
      </c>
      <c r="G39" s="39"/>
      <c r="H39" s="52">
        <f>F39-G39</f>
        <v>19234.849999999999</v>
      </c>
      <c r="I39" s="17"/>
      <c r="J39" s="17"/>
      <c r="K39" s="17"/>
      <c r="L39" s="50"/>
      <c r="M39" s="17"/>
    </row>
    <row r="40" spans="1:13" s="19" customFormat="1" ht="11.25" x14ac:dyDescent="0.2">
      <c r="A40" s="37" t="s">
        <v>56</v>
      </c>
      <c r="B40" s="15"/>
      <c r="C40" s="14"/>
      <c r="D40" s="15">
        <f t="shared" si="4"/>
        <v>0</v>
      </c>
      <c r="E40" s="17"/>
      <c r="F40" s="15">
        <v>2140</v>
      </c>
      <c r="G40" s="15">
        <f>1050+390+700</f>
        <v>2140</v>
      </c>
      <c r="H40" s="15">
        <f>F40-G40</f>
        <v>0</v>
      </c>
      <c r="I40" s="17"/>
      <c r="J40" s="17"/>
      <c r="K40" s="17"/>
      <c r="L40" s="50"/>
      <c r="M40" s="17"/>
    </row>
    <row r="41" spans="1:13" s="54" customFormat="1" ht="11.25" x14ac:dyDescent="0.2">
      <c r="A41" s="37" t="s">
        <v>57</v>
      </c>
      <c r="B41" s="15">
        <v>1601.26</v>
      </c>
      <c r="C41" s="14">
        <v>1601.26</v>
      </c>
      <c r="D41" s="15">
        <f t="shared" si="4"/>
        <v>0</v>
      </c>
      <c r="E41" s="15"/>
      <c r="F41" s="15">
        <v>1716.92</v>
      </c>
      <c r="G41" s="15">
        <v>1716.92</v>
      </c>
      <c r="H41" s="15">
        <f>F41-G41</f>
        <v>0</v>
      </c>
      <c r="I41" s="53"/>
      <c r="J41" s="53"/>
      <c r="K41" s="53"/>
      <c r="L41" s="53"/>
      <c r="M41" s="53"/>
    </row>
    <row r="42" spans="1:13" s="54" customFormat="1" ht="11.25" x14ac:dyDescent="0.2">
      <c r="A42" s="37" t="s">
        <v>58</v>
      </c>
      <c r="B42" s="15">
        <v>1020</v>
      </c>
      <c r="C42" s="14">
        <v>1020</v>
      </c>
      <c r="D42" s="15">
        <f t="shared" si="4"/>
        <v>0</v>
      </c>
      <c r="E42" s="15"/>
      <c r="F42" s="15">
        <v>1020</v>
      </c>
      <c r="G42" s="15">
        <v>1020</v>
      </c>
      <c r="H42" s="15">
        <f t="shared" ref="H42:H57" si="5">F42-G42</f>
        <v>0</v>
      </c>
      <c r="I42" s="53"/>
      <c r="J42" s="53"/>
      <c r="K42" s="53"/>
      <c r="L42" s="53"/>
      <c r="M42" s="53"/>
    </row>
    <row r="43" spans="1:13" s="54" customFormat="1" ht="11.25" x14ac:dyDescent="0.2">
      <c r="A43" s="37" t="s">
        <v>59</v>
      </c>
      <c r="B43" s="15">
        <f>2917-679</f>
        <v>2238</v>
      </c>
      <c r="C43" s="14">
        <f>542.38+271.19+271.19+271.19</f>
        <v>1355.95</v>
      </c>
      <c r="D43" s="15">
        <f t="shared" si="4"/>
        <v>882.05</v>
      </c>
      <c r="E43" s="15"/>
      <c r="F43" s="15"/>
      <c r="G43" s="15"/>
      <c r="H43" s="15">
        <f t="shared" si="5"/>
        <v>0</v>
      </c>
      <c r="I43" s="53"/>
      <c r="J43" s="53"/>
      <c r="K43" s="53"/>
      <c r="L43" s="53"/>
      <c r="M43" s="53"/>
    </row>
    <row r="44" spans="1:13" s="19" customFormat="1" ht="11.25" x14ac:dyDescent="0.2">
      <c r="A44" s="37" t="s">
        <v>60</v>
      </c>
      <c r="B44" s="15">
        <v>679</v>
      </c>
      <c r="C44" s="14">
        <v>679</v>
      </c>
      <c r="D44" s="14">
        <f t="shared" si="4"/>
        <v>0</v>
      </c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9" customFormat="1" ht="11.25" x14ac:dyDescent="0.2">
      <c r="A45" s="48" t="s">
        <v>61</v>
      </c>
      <c r="B45" s="15">
        <v>228.42</v>
      </c>
      <c r="C45" s="14">
        <v>228.42</v>
      </c>
      <c r="D45" s="15">
        <f t="shared" si="4"/>
        <v>0</v>
      </c>
      <c r="E45" s="15"/>
      <c r="F45" s="15"/>
      <c r="G45" s="15"/>
      <c r="H45" s="15"/>
      <c r="I45" s="15"/>
      <c r="J45" s="15"/>
      <c r="K45" s="15"/>
      <c r="L45" s="15"/>
      <c r="M45" s="15"/>
    </row>
    <row r="46" spans="1:13" s="54" customFormat="1" ht="11.25" x14ac:dyDescent="0.2">
      <c r="A46" s="37" t="s">
        <v>62</v>
      </c>
      <c r="B46" s="15">
        <f>7752+1560</f>
        <v>9312</v>
      </c>
      <c r="C46" s="14">
        <f>7752+1560</f>
        <v>9312</v>
      </c>
      <c r="D46" s="15">
        <f t="shared" si="4"/>
        <v>0</v>
      </c>
      <c r="E46" s="15"/>
      <c r="F46" s="15">
        <v>600</v>
      </c>
      <c r="G46" s="15">
        <f>360+360-180+60</f>
        <v>600</v>
      </c>
      <c r="H46" s="15">
        <f t="shared" si="5"/>
        <v>0</v>
      </c>
      <c r="I46" s="53"/>
      <c r="J46" s="53"/>
      <c r="K46" s="53"/>
      <c r="L46" s="53"/>
      <c r="M46" s="53"/>
    </row>
    <row r="47" spans="1:13" s="19" customFormat="1" ht="11.25" x14ac:dyDescent="0.2">
      <c r="A47" s="48" t="s">
        <v>63</v>
      </c>
      <c r="B47" s="15">
        <v>1602</v>
      </c>
      <c r="C47" s="14">
        <f>1602</f>
        <v>1602</v>
      </c>
      <c r="D47" s="15">
        <f t="shared" si="4"/>
        <v>0</v>
      </c>
      <c r="E47" s="15"/>
      <c r="F47" s="15"/>
      <c r="G47" s="17"/>
      <c r="H47" s="15">
        <f t="shared" si="5"/>
        <v>0</v>
      </c>
      <c r="I47" s="15"/>
      <c r="J47" s="15"/>
      <c r="K47" s="15"/>
      <c r="L47" s="15"/>
      <c r="M47" s="15"/>
    </row>
    <row r="48" spans="1:13" s="54" customFormat="1" ht="11.25" x14ac:dyDescent="0.2">
      <c r="A48" s="37" t="s">
        <v>64</v>
      </c>
      <c r="B48" s="15">
        <f>15426+12+148.27+3264.64-591.26</f>
        <v>18259.650000000001</v>
      </c>
      <c r="C48" s="14">
        <f>830.8+2558.57+1263.5+8590.53+3264.64</f>
        <v>16508.04</v>
      </c>
      <c r="D48" s="74">
        <f t="shared" si="4"/>
        <v>1751.6100000000006</v>
      </c>
      <c r="E48" s="15"/>
      <c r="F48" s="15"/>
      <c r="G48" s="17"/>
      <c r="H48" s="14">
        <f t="shared" si="5"/>
        <v>0</v>
      </c>
      <c r="I48" s="53"/>
      <c r="J48" s="53"/>
      <c r="K48" s="53"/>
      <c r="L48" s="53"/>
      <c r="M48" s="53"/>
    </row>
    <row r="49" spans="1:13" s="19" customFormat="1" ht="11.25" x14ac:dyDescent="0.2">
      <c r="A49" s="48" t="s">
        <v>65</v>
      </c>
      <c r="B49" s="15"/>
      <c r="C49" s="14"/>
      <c r="D49" s="15"/>
      <c r="E49" s="15"/>
      <c r="F49" s="15">
        <v>1500</v>
      </c>
      <c r="G49" s="15">
        <v>1500</v>
      </c>
      <c r="H49" s="15">
        <f t="shared" si="5"/>
        <v>0</v>
      </c>
      <c r="I49" s="15"/>
      <c r="J49" s="15"/>
      <c r="K49" s="15"/>
      <c r="L49" s="15"/>
      <c r="M49" s="15"/>
    </row>
    <row r="50" spans="1:13" s="19" customFormat="1" ht="11.25" x14ac:dyDescent="0.2">
      <c r="A50" s="37" t="s">
        <v>66</v>
      </c>
      <c r="B50" s="15">
        <v>1210.0999999999999</v>
      </c>
      <c r="C50" s="14">
        <v>1210.0999999999999</v>
      </c>
      <c r="D50" s="15">
        <f t="shared" si="4"/>
        <v>0</v>
      </c>
      <c r="E50" s="15"/>
      <c r="F50" s="15"/>
      <c r="G50" s="17"/>
      <c r="H50" s="15">
        <f t="shared" si="5"/>
        <v>0</v>
      </c>
      <c r="I50" s="15"/>
      <c r="J50" s="15"/>
      <c r="K50" s="15"/>
      <c r="L50" s="15"/>
      <c r="M50" s="15"/>
    </row>
    <row r="51" spans="1:13" s="19" customFormat="1" ht="11.25" x14ac:dyDescent="0.2">
      <c r="A51" s="37" t="s">
        <v>67</v>
      </c>
      <c r="B51" s="15">
        <v>3838.21</v>
      </c>
      <c r="C51" s="14">
        <f>95+915+991.21+1837</f>
        <v>3838.21</v>
      </c>
      <c r="D51" s="15">
        <f t="shared" si="4"/>
        <v>0</v>
      </c>
      <c r="E51" s="15"/>
      <c r="F51" s="15"/>
      <c r="G51" s="17"/>
      <c r="H51" s="15">
        <f t="shared" si="5"/>
        <v>0</v>
      </c>
      <c r="I51" s="15"/>
      <c r="J51" s="15"/>
      <c r="K51" s="15"/>
      <c r="L51" s="15"/>
      <c r="M51" s="15"/>
    </row>
    <row r="52" spans="1:13" s="19" customFormat="1" ht="11.25" x14ac:dyDescent="0.2">
      <c r="A52" s="33" t="s">
        <v>68</v>
      </c>
      <c r="B52" s="17"/>
      <c r="C52" s="21"/>
      <c r="D52" s="17">
        <f t="shared" si="4"/>
        <v>0</v>
      </c>
      <c r="E52" s="17"/>
      <c r="F52" s="17"/>
      <c r="G52" s="17"/>
      <c r="H52" s="15">
        <f t="shared" si="5"/>
        <v>0</v>
      </c>
      <c r="I52" s="15"/>
      <c r="J52" s="15"/>
      <c r="K52" s="15"/>
      <c r="L52" s="15"/>
      <c r="M52" s="15"/>
    </row>
    <row r="53" spans="1:13" s="19" customFormat="1" ht="11.25" x14ac:dyDescent="0.2">
      <c r="A53" s="33" t="s">
        <v>69</v>
      </c>
      <c r="B53" s="55">
        <v>337556.91</v>
      </c>
      <c r="C53" s="21">
        <v>337556.91</v>
      </c>
      <c r="D53" s="17">
        <f t="shared" si="4"/>
        <v>0</v>
      </c>
      <c r="E53" s="17"/>
      <c r="F53" s="17">
        <v>4533</v>
      </c>
      <c r="G53" s="17">
        <v>4533</v>
      </c>
      <c r="H53" s="17">
        <f t="shared" si="5"/>
        <v>0</v>
      </c>
      <c r="I53" s="15"/>
      <c r="J53" s="15"/>
      <c r="K53" s="15"/>
      <c r="L53" s="15"/>
      <c r="M53" s="15"/>
    </row>
    <row r="54" spans="1:13" s="19" customFormat="1" ht="11.25" x14ac:dyDescent="0.2">
      <c r="A54" s="33" t="s">
        <v>70</v>
      </c>
      <c r="B54" s="55">
        <v>22823.06</v>
      </c>
      <c r="C54" s="21">
        <v>22823.06</v>
      </c>
      <c r="D54" s="17">
        <f t="shared" si="4"/>
        <v>0</v>
      </c>
      <c r="E54" s="17"/>
      <c r="F54" s="17">
        <v>3656</v>
      </c>
      <c r="G54" s="17">
        <v>3656</v>
      </c>
      <c r="H54" s="17">
        <f t="shared" si="5"/>
        <v>0</v>
      </c>
      <c r="I54" s="15"/>
      <c r="J54" s="15"/>
      <c r="K54" s="15"/>
      <c r="L54" s="15"/>
      <c r="M54" s="15"/>
    </row>
    <row r="55" spans="1:13" s="19" customFormat="1" ht="11.25" x14ac:dyDescent="0.2">
      <c r="A55" s="33" t="s">
        <v>71</v>
      </c>
      <c r="B55" s="55">
        <v>104367.26</v>
      </c>
      <c r="C55" s="21">
        <v>91211.13</v>
      </c>
      <c r="D55" s="17">
        <f t="shared" si="4"/>
        <v>13156.12999999999</v>
      </c>
      <c r="E55" s="17"/>
      <c r="F55" s="17">
        <v>10017</v>
      </c>
      <c r="G55" s="17">
        <v>10017</v>
      </c>
      <c r="H55" s="17">
        <f t="shared" si="5"/>
        <v>0</v>
      </c>
      <c r="I55" s="15"/>
      <c r="J55" s="15"/>
      <c r="K55" s="15"/>
      <c r="L55" s="15"/>
      <c r="M55" s="15"/>
    </row>
    <row r="56" spans="1:13" s="19" customFormat="1" ht="11.25" x14ac:dyDescent="0.2">
      <c r="A56" s="33" t="s">
        <v>72</v>
      </c>
      <c r="B56" s="55">
        <v>7120</v>
      </c>
      <c r="C56" s="21">
        <v>6673.79</v>
      </c>
      <c r="D56" s="17">
        <f t="shared" si="4"/>
        <v>446.21000000000004</v>
      </c>
      <c r="E56" s="17"/>
      <c r="F56" s="17">
        <v>1000</v>
      </c>
      <c r="G56" s="17"/>
      <c r="H56" s="17">
        <f t="shared" si="5"/>
        <v>1000</v>
      </c>
      <c r="I56" s="15"/>
      <c r="J56" s="15"/>
      <c r="K56" s="15"/>
      <c r="L56" s="15"/>
      <c r="M56" s="15"/>
    </row>
    <row r="57" spans="1:13" s="19" customFormat="1" ht="21" customHeight="1" x14ac:dyDescent="0.2">
      <c r="A57" s="56" t="s">
        <v>73</v>
      </c>
      <c r="B57" s="55"/>
      <c r="C57" s="21"/>
      <c r="D57" s="17">
        <f t="shared" si="4"/>
        <v>0</v>
      </c>
      <c r="E57" s="17"/>
      <c r="F57" s="17">
        <v>700</v>
      </c>
      <c r="G57" s="17"/>
      <c r="H57" s="17">
        <f t="shared" si="5"/>
        <v>700</v>
      </c>
      <c r="I57" s="15"/>
      <c r="J57" s="15"/>
      <c r="K57" s="15"/>
      <c r="L57" s="15"/>
      <c r="M57" s="15"/>
    </row>
    <row r="58" spans="1:13" s="19" customFormat="1" ht="11.25" x14ac:dyDescent="0.2">
      <c r="A58" s="33" t="s">
        <v>74</v>
      </c>
      <c r="B58" s="55"/>
      <c r="C58" s="21">
        <v>0</v>
      </c>
      <c r="D58" s="17">
        <f t="shared" si="4"/>
        <v>0</v>
      </c>
      <c r="E58" s="17"/>
      <c r="F58" s="17"/>
      <c r="G58" s="17"/>
      <c r="H58" s="17"/>
      <c r="I58" s="15"/>
      <c r="J58" s="15"/>
      <c r="K58" s="15"/>
      <c r="L58" s="15"/>
      <c r="M58" s="15"/>
    </row>
    <row r="59" spans="1:13" s="19" customFormat="1" ht="11.25" x14ac:dyDescent="0.2">
      <c r="A59" s="33" t="s">
        <v>75</v>
      </c>
      <c r="B59" s="55"/>
      <c r="C59" s="21"/>
      <c r="D59" s="17">
        <f t="shared" si="4"/>
        <v>0</v>
      </c>
      <c r="E59" s="17"/>
      <c r="F59" s="17">
        <v>254</v>
      </c>
      <c r="G59" s="17">
        <v>253.85</v>
      </c>
      <c r="H59" s="17">
        <f>F59-G59</f>
        <v>0.15000000000000568</v>
      </c>
      <c r="I59" s="15"/>
      <c r="J59" s="15"/>
      <c r="K59" s="15"/>
      <c r="L59" s="15"/>
      <c r="M59" s="15"/>
    </row>
    <row r="60" spans="1:13" s="59" customFormat="1" ht="11.25" x14ac:dyDescent="0.2">
      <c r="A60" s="57" t="s">
        <v>76</v>
      </c>
      <c r="B60" s="58">
        <f>SUM(A62:A62)</f>
        <v>0</v>
      </c>
      <c r="C60" s="58">
        <f>SUM(B62:B62)</f>
        <v>0</v>
      </c>
      <c r="D60" s="58">
        <f>SUM(C62:C62)</f>
        <v>0</v>
      </c>
      <c r="E60" s="58">
        <f>SUM(D62:D62)</f>
        <v>0</v>
      </c>
      <c r="F60" s="58">
        <f>F61+F62</f>
        <v>27200</v>
      </c>
      <c r="G60" s="58">
        <f t="shared" ref="G60:M60" si="6">G61+G62</f>
        <v>0</v>
      </c>
      <c r="H60" s="58">
        <f t="shared" si="6"/>
        <v>27200</v>
      </c>
      <c r="I60" s="58">
        <f t="shared" si="6"/>
        <v>0</v>
      </c>
      <c r="J60" s="58">
        <f t="shared" si="6"/>
        <v>0</v>
      </c>
      <c r="K60" s="58">
        <f t="shared" si="6"/>
        <v>0</v>
      </c>
      <c r="L60" s="58">
        <f t="shared" si="6"/>
        <v>0</v>
      </c>
      <c r="M60" s="58">
        <f t="shared" si="6"/>
        <v>0</v>
      </c>
    </row>
    <row r="61" spans="1:13" s="59" customFormat="1" ht="11.25" x14ac:dyDescent="0.2">
      <c r="A61" s="60" t="s">
        <v>77</v>
      </c>
      <c r="B61" s="58"/>
      <c r="C61" s="61"/>
      <c r="D61" s="58"/>
      <c r="E61" s="58"/>
      <c r="F61" s="39">
        <v>18200</v>
      </c>
      <c r="G61" s="39"/>
      <c r="H61" s="39">
        <f>F61-G61</f>
        <v>18200</v>
      </c>
      <c r="I61" s="58"/>
      <c r="J61" s="58"/>
      <c r="K61" s="58"/>
      <c r="L61" s="58"/>
      <c r="M61" s="58"/>
    </row>
    <row r="62" spans="1:13" s="19" customFormat="1" ht="11.25" x14ac:dyDescent="0.2">
      <c r="A62" s="37" t="s">
        <v>78</v>
      </c>
      <c r="B62" s="17"/>
      <c r="C62" s="21"/>
      <c r="D62" s="17"/>
      <c r="E62" s="15"/>
      <c r="F62" s="39">
        <v>9000</v>
      </c>
      <c r="G62" s="39"/>
      <c r="H62" s="39">
        <f>F62-G62</f>
        <v>9000</v>
      </c>
      <c r="I62" s="15"/>
      <c r="J62" s="15"/>
      <c r="K62" s="15">
        <f>I62-J62</f>
        <v>0</v>
      </c>
      <c r="L62" s="15"/>
      <c r="M62" s="15"/>
    </row>
    <row r="63" spans="1:13" s="19" customFormat="1" ht="11.25" x14ac:dyDescent="0.2">
      <c r="A63" s="33" t="s">
        <v>79</v>
      </c>
      <c r="B63" s="15"/>
      <c r="C63" s="14"/>
      <c r="D63" s="17">
        <f t="shared" si="4"/>
        <v>0</v>
      </c>
      <c r="E63" s="15">
        <v>0</v>
      </c>
      <c r="F63" s="15">
        <v>0</v>
      </c>
      <c r="G63" s="15">
        <v>0</v>
      </c>
      <c r="H63" s="15">
        <f>F63-G63</f>
        <v>0</v>
      </c>
      <c r="I63" s="15">
        <v>0</v>
      </c>
      <c r="J63" s="15">
        <v>0</v>
      </c>
      <c r="K63" s="15">
        <f>I63-J63</f>
        <v>0</v>
      </c>
      <c r="L63" s="15"/>
      <c r="M63" s="15"/>
    </row>
    <row r="64" spans="1:13" s="32" customFormat="1" ht="8.25" customHeight="1" x14ac:dyDescent="0.2">
      <c r="C64" s="62"/>
    </row>
    <row r="65" spans="1:8" ht="37.5" customHeight="1" x14ac:dyDescent="0.2">
      <c r="A65" s="67" t="s">
        <v>80</v>
      </c>
      <c r="B65" s="67"/>
      <c r="C65" s="67"/>
      <c r="D65" s="67"/>
      <c r="E65" s="67"/>
      <c r="F65" s="67"/>
      <c r="G65" s="67"/>
      <c r="H65" s="67"/>
    </row>
  </sheetData>
  <sheetProtection selectLockedCells="1" selectUnlockedCells="1"/>
  <mergeCells count="7">
    <mergeCell ref="L2:M2"/>
    <mergeCell ref="L3:M3"/>
    <mergeCell ref="A65:H65"/>
    <mergeCell ref="A1:K1"/>
    <mergeCell ref="B2:D2"/>
    <mergeCell ref="E2:H2"/>
    <mergeCell ref="I2:K2"/>
  </mergeCells>
  <pageMargins left="0.29166666666666669" right="0.1701388888888889" top="0.16041666666666668" bottom="0.48854166666666665" header="0.51180555555555551" footer="0.51180555555555551"/>
  <pageSetup paperSize="9" scale="70" firstPageNumber="0" orientation="landscape" horizontalDpi="300" verticalDpi="300" r:id="rId1"/>
  <headerFooter alignWithMargins="0"/>
  <rowBreaks count="1" manualBreakCount="1">
    <brk id="6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49</vt:lpstr>
      <vt:lpstr>'49'!Область_печати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</cp:lastModifiedBy>
  <cp:lastPrinted>2021-01-20T08:20:38Z</cp:lastPrinted>
  <dcterms:created xsi:type="dcterms:W3CDTF">2021-01-20T08:18:44Z</dcterms:created>
  <dcterms:modified xsi:type="dcterms:W3CDTF">2021-01-20T08:22:57Z</dcterms:modified>
</cp:coreProperties>
</file>